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 tabRatio="849" firstSheet="36" activeTab="43"/>
  </bookViews>
  <sheets>
    <sheet name="INFO" sheetId="1" r:id="rId1"/>
    <sheet name="Wskaźniki" sheetId="16" r:id="rId2"/>
    <sheet name="Charakterystyka_2020" sheetId="10" state="hidden" r:id="rId3"/>
    <sheet name="Charakterystyka_2028" sheetId="50" r:id="rId4"/>
    <sheet name="En. elektryczna_2020" sheetId="2" state="hidden" r:id="rId5"/>
    <sheet name="En. elektryczna_2028" sheetId="49" r:id="rId6"/>
    <sheet name="Gaz_2020" sheetId="5" state="hidden" r:id="rId7"/>
    <sheet name="Gaz wykr." sheetId="6" state="hidden" r:id="rId8"/>
    <sheet name="Ankietyzacja mieszkanców_2014" sheetId="25" r:id="rId9"/>
    <sheet name="Budynki komunalne_2014" sheetId="31" r:id="rId10"/>
    <sheet name="Budynki niekomunalne_2014" sheetId="70" r:id="rId11"/>
    <sheet name="Gaz_2028" sheetId="51" r:id="rId12"/>
    <sheet name="Ciepło sieciowe_2020" sheetId="37" state="hidden" r:id="rId13"/>
    <sheet name="Ciepło sieciowe_2028" sheetId="52" r:id="rId14"/>
    <sheet name="Ciepło założenia" sheetId="48" r:id="rId15"/>
    <sheet name="Ciepło_gosp. dom._2020" sheetId="12" r:id="rId16"/>
    <sheet name="Ciepło_gosp. dom._2024" sheetId="53" r:id="rId17"/>
    <sheet name="Ankietyzacja 2024" sheetId="69" r:id="rId18"/>
    <sheet name="Budynki niekomunalne_2024" sheetId="30" r:id="rId19"/>
    <sheet name="Oświetlenie komunalne_2020" sheetId="14" state="hidden" r:id="rId20"/>
    <sheet name="Budynki komunalne_2024" sheetId="68" r:id="rId21"/>
    <sheet name="Budynki komunalne_2028" sheetId="66" r:id="rId22"/>
    <sheet name="Oświetlenie komunalne_2028" sheetId="54" r:id="rId23"/>
    <sheet name="Transport prywatny_2020" sheetId="26" state="hidden" r:id="rId24"/>
    <sheet name="Transport prywatny_2024" sheetId="55" r:id="rId25"/>
    <sheet name="Transport komercyjny_2020" sheetId="32" state="hidden" r:id="rId26"/>
    <sheet name="Transport komercyjny_2024" sheetId="56" r:id="rId27"/>
    <sheet name="Transport kom. autobusy_2020" sheetId="33" state="hidden" r:id="rId28"/>
    <sheet name="Transport kom. autobusy_2024" sheetId="57" r:id="rId29"/>
    <sheet name="Tabor gminny_2020" sheetId="34" state="hidden" r:id="rId30"/>
    <sheet name="Tabor gminny_2024" sheetId="58" r:id="rId31"/>
    <sheet name="Podsumowanie transport_2020" sheetId="35" state="hidden" r:id="rId32"/>
    <sheet name="Podsumowanie transport_2024" sheetId="60" r:id="rId33"/>
    <sheet name="Końcowe zuż. energii_2020" sheetId="42" state="hidden" r:id="rId34"/>
    <sheet name="Emisja CO2_2020" sheetId="44" state="hidden" r:id="rId35"/>
    <sheet name="Końcowe zuż. energii_2024" sheetId="59" r:id="rId36"/>
    <sheet name="Emisja CO2_2024" sheetId="61" r:id="rId37"/>
    <sheet name="Działania_2020" sheetId="29" state="hidden" r:id="rId38"/>
    <sheet name="Działania_zrealizowane " sheetId="47" state="hidden" r:id="rId39"/>
    <sheet name="Zrealizowane_do_2020" sheetId="63" r:id="rId40"/>
    <sheet name="Zrealizowane_2020-2024" sheetId="71" r:id="rId41"/>
    <sheet name="Działania_2024" sheetId="62" r:id="rId42"/>
    <sheet name="Działania_do realizacji" sheetId="64" state="hidden" r:id="rId43"/>
    <sheet name="Planowane rezultaty" sheetId="28" r:id="rId44"/>
    <sheet name="Wskaźniki  rezultatów" sheetId="65" r:id="rId45"/>
    <sheet name="Działanie P&amp;R" sheetId="40" r:id="rId46"/>
    <sheet name="Ścieżki rowerowe" sheetId="41" state="hidden" r:id="rId47"/>
  </sheets>
  <externalReferences>
    <externalReference r:id="rId48"/>
  </externalReferences>
  <definedNames>
    <definedName name="_xlnm._FilterDatabase" localSheetId="8" hidden="1">'Ankietyzacja mieszkanców_2014'!$B$5:$O$94</definedName>
    <definedName name="_xlnm.Print_Area" localSheetId="8">'Ankietyzacja mieszkanców_2014'!$A$1:$P$98</definedName>
    <definedName name="_xlnm.Print_Area" localSheetId="2">Charakterystyka_2020!$A$1:$AJ$122</definedName>
    <definedName name="_xlnm.Print_Area" localSheetId="3">Charakterystyka_2028!$A$1:$AJ$139</definedName>
    <definedName name="_xlnm.Print_Area" localSheetId="15">'Ciepło_gosp. dom._2020'!$A$1:$K$28</definedName>
    <definedName name="_xlnm.Print_Area" localSheetId="16">'Ciepło_gosp. dom._2024'!$A$1:$K$37</definedName>
    <definedName name="_xlnm.Print_Area" localSheetId="37">Działania_2020!$A$1:$Q$27</definedName>
    <definedName name="_xlnm.Print_Area" localSheetId="41">Działania_2024!$A$1:$Q$45</definedName>
    <definedName name="_xlnm.Print_Area" localSheetId="4">'En. elektryczna_2020'!$A$1:$K$22</definedName>
    <definedName name="_xlnm.Print_Area" localSheetId="5">'En. elektryczna_2028'!$A$1:$K$29</definedName>
    <definedName name="_xlnm.Print_Area" localSheetId="7">'Gaz wykr.'!$A$1:$L$38</definedName>
    <definedName name="_xlnm.Print_Area" localSheetId="6">Gaz_2020!$A$1:$L$21</definedName>
    <definedName name="_xlnm.Print_Area" localSheetId="11">Gaz_2028!$A$1:$L$29</definedName>
    <definedName name="_xlnm.Print_Area" localSheetId="19">'Oświetlenie komunalne_2020'!$A$1:$I$14</definedName>
    <definedName name="_xlnm.Print_Area" localSheetId="22">'Oświetlenie komunalne_2028'!$A$1:$I$14</definedName>
    <definedName name="_xlnm.Print_Area" localSheetId="43">'Planowane rezultaty'!$A$1:$J$27</definedName>
    <definedName name="_xlnm.Print_Area" localSheetId="23">'Transport prywatny_2020'!$A$1:$P$34</definedName>
    <definedName name="_xlnm.Print_Area" localSheetId="24">'Transport prywatny_2024'!$A$1:$P$54</definedName>
    <definedName name="_xlnm.Print_Area" localSheetId="1">Wskaźniki!$A$1:$E$36</definedName>
    <definedName name="_xlnm.Print_Area" localSheetId="39">Zrealizowane_do_2020!$A$1:$Q$27</definedName>
    <definedName name="_xlnm.Print_Titles" localSheetId="2">Charakterystyka_2020!$2:$3</definedName>
    <definedName name="_xlnm.Print_Titles" localSheetId="3">Charakterystyka_2028!$2:$3</definedName>
  </definedNames>
  <calcPr calcId="124519"/>
  <fileRecoveryPr repairLoad="1"/>
</workbook>
</file>

<file path=xl/calcChain.xml><?xml version="1.0" encoding="utf-8"?>
<calcChain xmlns="http://schemas.openxmlformats.org/spreadsheetml/2006/main">
  <c r="E14" i="65"/>
  <c r="I27" i="51"/>
  <c r="E60" i="71"/>
  <c r="H60" s="1"/>
  <c r="E59"/>
  <c r="H59" s="1"/>
  <c r="E58"/>
  <c r="D58"/>
  <c r="G58" s="1"/>
  <c r="I49"/>
  <c r="J49"/>
  <c r="K49"/>
  <c r="K50" s="1"/>
  <c r="I50"/>
  <c r="J50"/>
  <c r="H50"/>
  <c r="H49"/>
  <c r="J13"/>
  <c r="I13"/>
  <c r="D60" l="1"/>
  <c r="F60" s="1"/>
  <c r="F58"/>
  <c r="H58"/>
  <c r="D59"/>
  <c r="J20" i="62"/>
  <c r="I20"/>
  <c r="O15" i="71"/>
  <c r="J15"/>
  <c r="I15"/>
  <c r="N15"/>
  <c r="G60" l="1"/>
  <c r="F59"/>
  <c r="G59"/>
  <c r="H44"/>
  <c r="I24" l="1"/>
  <c r="Q47" i="61" l="1"/>
  <c r="P47"/>
  <c r="O47"/>
  <c r="N47"/>
  <c r="M47"/>
  <c r="L47"/>
  <c r="K47"/>
  <c r="J47"/>
  <c r="G47"/>
  <c r="E47"/>
  <c r="D47"/>
  <c r="C47"/>
  <c r="F46"/>
  <c r="Q40"/>
  <c r="Q51" s="1"/>
  <c r="P40"/>
  <c r="P51" s="1"/>
  <c r="O40"/>
  <c r="N40"/>
  <c r="N51" s="1"/>
  <c r="M40"/>
  <c r="M51" s="1"/>
  <c r="L40"/>
  <c r="L51" s="1"/>
  <c r="J40"/>
  <c r="J51" s="1"/>
  <c r="I40"/>
  <c r="H40"/>
  <c r="F40"/>
  <c r="C28" i="48"/>
  <c r="I48" i="71"/>
  <c r="J48"/>
  <c r="K48"/>
  <c r="D23" i="28"/>
  <c r="G23" s="1"/>
  <c r="D22"/>
  <c r="G22" s="1"/>
  <c r="G21" l="1"/>
  <c r="O51" i="61"/>
  <c r="H11" i="71" l="1"/>
  <c r="H48" s="1"/>
  <c r="D14" i="65"/>
  <c r="F15" i="51" l="1"/>
  <c r="E15" s="1"/>
  <c r="D15" s="1"/>
  <c r="D19"/>
  <c r="E19" s="1"/>
  <c r="F19" s="1"/>
  <c r="I19" i="53"/>
  <c r="I17"/>
  <c r="E52" i="48"/>
  <c r="G42"/>
  <c r="F42"/>
  <c r="H42" s="1"/>
  <c r="F43" s="1"/>
  <c r="E46" s="1"/>
  <c r="K45" i="62"/>
  <c r="J45"/>
  <c r="D46" i="48" l="1"/>
  <c r="G43"/>
  <c r="E42" s="1"/>
  <c r="D42" s="1"/>
  <c r="D48" l="1"/>
  <c r="F46" s="1"/>
  <c r="C47"/>
  <c r="C14" i="53" s="1"/>
  <c r="C42" i="48"/>
  <c r="C16" i="53" s="1"/>
  <c r="F16" s="1"/>
  <c r="F25" s="1"/>
  <c r="C50" i="48" l="1"/>
  <c r="C44"/>
  <c r="C15" i="53" s="1"/>
  <c r="F15" s="1"/>
  <c r="F24" s="1"/>
  <c r="C45" i="48"/>
  <c r="C17" i="53" s="1"/>
  <c r="F17" s="1"/>
  <c r="F26" s="1"/>
  <c r="C46" i="48"/>
  <c r="C19" i="53" s="1"/>
  <c r="F19" s="1"/>
  <c r="F28" s="1"/>
  <c r="C51" i="48"/>
  <c r="C43"/>
  <c r="C18" i="53" s="1"/>
  <c r="F18" s="1"/>
  <c r="F27" s="1"/>
  <c r="F14"/>
  <c r="F23" s="1"/>
  <c r="C48" i="48" l="1"/>
  <c r="F47"/>
  <c r="C20" i="53"/>
  <c r="D28" i="58"/>
  <c r="D29"/>
  <c r="D30"/>
  <c r="D31"/>
  <c r="D32"/>
  <c r="D33"/>
  <c r="D34"/>
  <c r="D35"/>
  <c r="D36"/>
  <c r="D29" i="59" l="1"/>
  <c r="D30"/>
  <c r="B24" i="57"/>
  <c r="B19"/>
  <c r="G23" i="70"/>
  <c r="E23"/>
  <c r="D23"/>
  <c r="K22"/>
  <c r="L22" s="1"/>
  <c r="I22"/>
  <c r="J22" s="1"/>
  <c r="H22"/>
  <c r="K21"/>
  <c r="L21" s="1"/>
  <c r="I21"/>
  <c r="J21" s="1"/>
  <c r="H21"/>
  <c r="K20"/>
  <c r="L20" s="1"/>
  <c r="I20"/>
  <c r="J20" s="1"/>
  <c r="H20"/>
  <c r="K19"/>
  <c r="L19" s="1"/>
  <c r="I19"/>
  <c r="J19" s="1"/>
  <c r="H19"/>
  <c r="K18"/>
  <c r="L18" s="1"/>
  <c r="I18"/>
  <c r="J18" s="1"/>
  <c r="H18"/>
  <c r="K17"/>
  <c r="L17" s="1"/>
  <c r="I17"/>
  <c r="J17" s="1"/>
  <c r="H17"/>
  <c r="K16"/>
  <c r="L16" s="1"/>
  <c r="I16"/>
  <c r="J16" s="1"/>
  <c r="H16"/>
  <c r="K15"/>
  <c r="L15" s="1"/>
  <c r="I15"/>
  <c r="J15" s="1"/>
  <c r="H15"/>
  <c r="K14"/>
  <c r="L14" s="1"/>
  <c r="I14"/>
  <c r="J14" s="1"/>
  <c r="H14"/>
  <c r="K13"/>
  <c r="L13" s="1"/>
  <c r="J13"/>
  <c r="I13"/>
  <c r="H13"/>
  <c r="K12"/>
  <c r="L12" s="1"/>
  <c r="I12"/>
  <c r="J12" s="1"/>
  <c r="H12"/>
  <c r="G10" i="59" s="1"/>
  <c r="K11" i="70"/>
  <c r="L11" s="1"/>
  <c r="I11"/>
  <c r="J11" s="1"/>
  <c r="H11"/>
  <c r="K10"/>
  <c r="I10"/>
  <c r="K9"/>
  <c r="L9" s="1"/>
  <c r="I9"/>
  <c r="J9" s="1"/>
  <c r="H9"/>
  <c r="K8"/>
  <c r="I8"/>
  <c r="K7"/>
  <c r="L7" s="1"/>
  <c r="I7"/>
  <c r="J7" s="1"/>
  <c r="H7"/>
  <c r="K6"/>
  <c r="L6" s="1"/>
  <c r="I6"/>
  <c r="J6" s="1"/>
  <c r="H6"/>
  <c r="K5"/>
  <c r="L5" s="1"/>
  <c r="I5"/>
  <c r="H5"/>
  <c r="K4"/>
  <c r="L4" s="1"/>
  <c r="I4"/>
  <c r="J4" s="1"/>
  <c r="H4"/>
  <c r="P3"/>
  <c r="D11" i="59"/>
  <c r="D10"/>
  <c r="D9"/>
  <c r="C13"/>
  <c r="C11"/>
  <c r="C10"/>
  <c r="Q21"/>
  <c r="P21"/>
  <c r="O21"/>
  <c r="N21"/>
  <c r="M21"/>
  <c r="L21"/>
  <c r="K21"/>
  <c r="J21"/>
  <c r="G21"/>
  <c r="E21"/>
  <c r="D21"/>
  <c r="C21"/>
  <c r="Q14"/>
  <c r="P14"/>
  <c r="N14"/>
  <c r="M14"/>
  <c r="L14"/>
  <c r="J14"/>
  <c r="I14"/>
  <c r="H14"/>
  <c r="F14"/>
  <c r="Q22" l="1"/>
  <c r="J22"/>
  <c r="N22"/>
  <c r="M22"/>
  <c r="H23" i="70"/>
  <c r="P4" s="1"/>
  <c r="P5" s="1"/>
  <c r="L22" i="59"/>
  <c r="P22"/>
  <c r="J23" i="70"/>
  <c r="P6" s="1"/>
  <c r="L23"/>
  <c r="P7" s="1"/>
  <c r="P8" s="1"/>
  <c r="D14" i="59"/>
  <c r="D22" s="1"/>
  <c r="C29" l="1"/>
  <c r="E134" i="50"/>
  <c r="E135" s="1"/>
  <c r="D134"/>
  <c r="D135" s="1"/>
  <c r="H52" i="59" s="1"/>
  <c r="C134" i="50"/>
  <c r="C135" s="1"/>
  <c r="I52" i="59" l="1"/>
  <c r="I32"/>
  <c r="H32"/>
  <c r="F14" i="52" l="1"/>
  <c r="G14" s="1"/>
  <c r="D36" i="61" s="1"/>
  <c r="F13" i="52"/>
  <c r="C13"/>
  <c r="F12"/>
  <c r="G12" s="1"/>
  <c r="D37" i="61" s="1"/>
  <c r="F11" i="52"/>
  <c r="G11" s="1"/>
  <c r="D39" i="61" s="1"/>
  <c r="F14" i="51"/>
  <c r="F17"/>
  <c r="G18"/>
  <c r="G17"/>
  <c r="G16"/>
  <c r="G15"/>
  <c r="G39" i="58"/>
  <c r="F39"/>
  <c r="E39"/>
  <c r="D39"/>
  <c r="G38"/>
  <c r="F38"/>
  <c r="E38"/>
  <c r="D38"/>
  <c r="G37"/>
  <c r="F37"/>
  <c r="E37"/>
  <c r="D37"/>
  <c r="E36"/>
  <c r="H36" s="1"/>
  <c r="G35"/>
  <c r="F35"/>
  <c r="E35"/>
  <c r="G34"/>
  <c r="F34"/>
  <c r="E34"/>
  <c r="G33"/>
  <c r="F33"/>
  <c r="E33"/>
  <c r="G32"/>
  <c r="F32"/>
  <c r="E32"/>
  <c r="G31"/>
  <c r="F31"/>
  <c r="E31"/>
  <c r="G30"/>
  <c r="F30"/>
  <c r="E30"/>
  <c r="G29"/>
  <c r="F29"/>
  <c r="E29"/>
  <c r="G28"/>
  <c r="F28"/>
  <c r="E28"/>
  <c r="K21" i="57"/>
  <c r="L21" s="1"/>
  <c r="F27" s="1"/>
  <c r="J21"/>
  <c r="J20"/>
  <c r="C19"/>
  <c r="C25" s="1"/>
  <c r="K19"/>
  <c r="E25" s="1"/>
  <c r="J19"/>
  <c r="B25" i="56"/>
  <c r="B22"/>
  <c r="K27"/>
  <c r="L27" s="1"/>
  <c r="J27"/>
  <c r="J26"/>
  <c r="K26"/>
  <c r="J25"/>
  <c r="C25"/>
  <c r="K24"/>
  <c r="E33" s="1"/>
  <c r="J24"/>
  <c r="J23"/>
  <c r="K23"/>
  <c r="J22"/>
  <c r="C22"/>
  <c r="C25" i="55"/>
  <c r="C22"/>
  <c r="K27"/>
  <c r="J27"/>
  <c r="K26"/>
  <c r="J26"/>
  <c r="K25"/>
  <c r="J25"/>
  <c r="K24"/>
  <c r="J24"/>
  <c r="K23"/>
  <c r="L23" s="1"/>
  <c r="J23"/>
  <c r="K22"/>
  <c r="J22"/>
  <c r="H29" i="58" l="1"/>
  <c r="I29" s="1"/>
  <c r="H31"/>
  <c r="H33"/>
  <c r="H35"/>
  <c r="J35" s="1"/>
  <c r="M25" i="55"/>
  <c r="G35" s="1"/>
  <c r="I44" i="61" s="1"/>
  <c r="M27" i="55"/>
  <c r="H30" i="58"/>
  <c r="H34"/>
  <c r="H37"/>
  <c r="I37" s="1"/>
  <c r="H38"/>
  <c r="J38" s="1"/>
  <c r="H39"/>
  <c r="I39" s="1"/>
  <c r="M22" i="55"/>
  <c r="H32" i="58"/>
  <c r="I32" s="1"/>
  <c r="M24" i="55"/>
  <c r="E37"/>
  <c r="M26"/>
  <c r="M19" i="57"/>
  <c r="G25" s="1"/>
  <c r="I43" i="61" s="1"/>
  <c r="D40" i="58"/>
  <c r="L24" i="55"/>
  <c r="M27" i="56"/>
  <c r="L19" i="57"/>
  <c r="F25" s="1"/>
  <c r="E30" i="59"/>
  <c r="E17" i="51"/>
  <c r="J29" i="58"/>
  <c r="I30"/>
  <c r="J30"/>
  <c r="I31"/>
  <c r="J31"/>
  <c r="I33"/>
  <c r="J33"/>
  <c r="I34"/>
  <c r="J34"/>
  <c r="I35"/>
  <c r="I36"/>
  <c r="J36"/>
  <c r="H28"/>
  <c r="K20" i="57"/>
  <c r="M21"/>
  <c r="G27" s="1"/>
  <c r="F43" i="61" s="1"/>
  <c r="E27" i="57"/>
  <c r="C31" i="56"/>
  <c r="M24"/>
  <c r="G33" s="1"/>
  <c r="L24"/>
  <c r="F33" s="1"/>
  <c r="F39" i="59" s="1"/>
  <c r="L23" i="56"/>
  <c r="E32"/>
  <c r="M23"/>
  <c r="L26"/>
  <c r="M26"/>
  <c r="K22"/>
  <c r="K25"/>
  <c r="C35" i="55"/>
  <c r="L27"/>
  <c r="F37" s="1"/>
  <c r="F37" i="59" s="1"/>
  <c r="L26" i="55"/>
  <c r="F36" s="1"/>
  <c r="H37" i="59" s="1"/>
  <c r="E36" i="55"/>
  <c r="L25"/>
  <c r="E35"/>
  <c r="L22"/>
  <c r="K28"/>
  <c r="G37"/>
  <c r="F44" i="61" s="1"/>
  <c r="M23" i="55"/>
  <c r="G36" s="1"/>
  <c r="H44" i="61" s="1"/>
  <c r="E129" i="50"/>
  <c r="F129"/>
  <c r="D129"/>
  <c r="C129"/>
  <c r="F121" i="69"/>
  <c r="G121"/>
  <c r="H121"/>
  <c r="K121"/>
  <c r="L121"/>
  <c r="M121"/>
  <c r="E121"/>
  <c r="I38" i="58" l="1"/>
  <c r="J39"/>
  <c r="R44" i="61"/>
  <c r="D49" i="58"/>
  <c r="G129" i="50"/>
  <c r="C130" s="1"/>
  <c r="D48" i="58"/>
  <c r="J37"/>
  <c r="J32"/>
  <c r="F48" s="1"/>
  <c r="H42" i="61" s="1"/>
  <c r="D130" i="50"/>
  <c r="G52" i="59"/>
  <c r="G32"/>
  <c r="M28" i="55"/>
  <c r="E38"/>
  <c r="C11" i="60" s="1"/>
  <c r="G32" i="56"/>
  <c r="H46" i="61" s="1"/>
  <c r="K52" i="59"/>
  <c r="K32"/>
  <c r="E32"/>
  <c r="E49" i="58"/>
  <c r="F35" i="59" s="1"/>
  <c r="D17" i="51"/>
  <c r="H17"/>
  <c r="E37" i="61" s="1"/>
  <c r="D47" i="58"/>
  <c r="D50" s="1"/>
  <c r="C14" i="60" s="1"/>
  <c r="H40" i="58"/>
  <c r="I28"/>
  <c r="J28"/>
  <c r="F49"/>
  <c r="F42" i="61" s="1"/>
  <c r="F47" s="1"/>
  <c r="F51" s="1"/>
  <c r="E48" i="58"/>
  <c r="H35" i="59" s="1"/>
  <c r="L20" i="57"/>
  <c r="M20"/>
  <c r="E26"/>
  <c r="E28" s="1"/>
  <c r="C13" i="60" s="1"/>
  <c r="K22" i="57"/>
  <c r="F32" i="56"/>
  <c r="H39" i="59" s="1"/>
  <c r="L22" i="56"/>
  <c r="M22"/>
  <c r="E31"/>
  <c r="E34" s="1"/>
  <c r="C12" i="60" s="1"/>
  <c r="K28" i="56"/>
  <c r="L25"/>
  <c r="M25"/>
  <c r="L28" i="55"/>
  <c r="F35"/>
  <c r="G38"/>
  <c r="E11" i="60" s="1"/>
  <c r="F130" i="50" l="1"/>
  <c r="E130"/>
  <c r="G130" s="1"/>
  <c r="F38" i="55"/>
  <c r="D11" i="60" s="1"/>
  <c r="I37" i="59"/>
  <c r="F47" i="58"/>
  <c r="J40"/>
  <c r="E47"/>
  <c r="E50" s="1"/>
  <c r="D14" i="60" s="1"/>
  <c r="I40" i="58"/>
  <c r="F26" i="57"/>
  <c r="L22"/>
  <c r="G26"/>
  <c r="M22"/>
  <c r="F31" i="56"/>
  <c r="L28"/>
  <c r="G31"/>
  <c r="M28"/>
  <c r="J119" i="69"/>
  <c r="J106"/>
  <c r="J105"/>
  <c r="J104"/>
  <c r="J103"/>
  <c r="J102"/>
  <c r="J101"/>
  <c r="J99"/>
  <c r="J100"/>
  <c r="J98"/>
  <c r="I90"/>
  <c r="I78"/>
  <c r="I74"/>
  <c r="I12"/>
  <c r="I23" i="30"/>
  <c r="J23" s="1"/>
  <c r="K23"/>
  <c r="L23" s="1"/>
  <c r="I24"/>
  <c r="J24" s="1"/>
  <c r="K24"/>
  <c r="L24" s="1"/>
  <c r="I25"/>
  <c r="J25" s="1"/>
  <c r="K25"/>
  <c r="L25" s="1"/>
  <c r="I26"/>
  <c r="J26" s="1"/>
  <c r="K26"/>
  <c r="G26"/>
  <c r="H25"/>
  <c r="H24"/>
  <c r="H23"/>
  <c r="D23"/>
  <c r="D28" s="1"/>
  <c r="I38" i="68"/>
  <c r="I37"/>
  <c r="I36"/>
  <c r="I35"/>
  <c r="I34"/>
  <c r="I32"/>
  <c r="I31"/>
  <c r="I30"/>
  <c r="J40"/>
  <c r="T5" s="1"/>
  <c r="T8" s="1"/>
  <c r="B7"/>
  <c r="B8" s="1"/>
  <c r="B9" s="1"/>
  <c r="B6"/>
  <c r="AA104" i="50"/>
  <c r="AB104"/>
  <c r="AC104"/>
  <c r="AD104"/>
  <c r="Z104"/>
  <c r="Y104"/>
  <c r="G17" i="30"/>
  <c r="G28" s="1"/>
  <c r="E17"/>
  <c r="E28" s="1"/>
  <c r="C19" i="52"/>
  <c r="D19" i="49"/>
  <c r="C31" i="59" s="1"/>
  <c r="C17" i="49"/>
  <c r="C9"/>
  <c r="C15"/>
  <c r="C7"/>
  <c r="G28" i="57" l="1"/>
  <c r="E13" i="60" s="1"/>
  <c r="H43" i="61"/>
  <c r="F50" i="58"/>
  <c r="E14" i="60" s="1"/>
  <c r="I42" i="61"/>
  <c r="G34" i="56"/>
  <c r="E12" i="60" s="1"/>
  <c r="I46" i="61"/>
  <c r="R46" s="1"/>
  <c r="F34" i="56"/>
  <c r="D12" i="60" s="1"/>
  <c r="I39" i="59"/>
  <c r="F28" i="57"/>
  <c r="D13" i="60" s="1"/>
  <c r="H36" i="59"/>
  <c r="L26" i="30"/>
  <c r="I121" i="69"/>
  <c r="J121"/>
  <c r="D17" i="49"/>
  <c r="C30" i="59" s="1"/>
  <c r="D15" i="49"/>
  <c r="C32" i="59" s="1"/>
  <c r="I40" i="68"/>
  <c r="E19" i="49"/>
  <c r="F19" s="1"/>
  <c r="C38" i="61" s="1"/>
  <c r="R38" s="1"/>
  <c r="E18" i="49"/>
  <c r="E17"/>
  <c r="E16"/>
  <c r="F16" s="1"/>
  <c r="C36" i="61" s="1"/>
  <c r="E15" i="49"/>
  <c r="P4" i="66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3"/>
  <c r="M53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4"/>
  <c r="N5"/>
  <c r="N6"/>
  <c r="N7"/>
  <c r="N8"/>
  <c r="N3"/>
  <c r="O42"/>
  <c r="I47" i="61" l="1"/>
  <c r="I51" s="1"/>
  <c r="R42"/>
  <c r="R43"/>
  <c r="H47"/>
  <c r="H51" s="1"/>
  <c r="I41" i="68"/>
  <c r="T6" s="1"/>
  <c r="T9" s="1"/>
  <c r="T10" s="1"/>
  <c r="D13" i="52"/>
  <c r="F15" i="49"/>
  <c r="C39" i="61" s="1"/>
  <c r="F17" i="49"/>
  <c r="C37" i="61" s="1"/>
  <c r="P53" i="66"/>
  <c r="T7" s="1"/>
  <c r="N53"/>
  <c r="T4" s="1"/>
  <c r="O43"/>
  <c r="O44"/>
  <c r="O45"/>
  <c r="O46"/>
  <c r="O47"/>
  <c r="O48"/>
  <c r="O49"/>
  <c r="O50"/>
  <c r="O51"/>
  <c r="K53"/>
  <c r="J53"/>
  <c r="I53"/>
  <c r="G53"/>
  <c r="L52"/>
  <c r="O52" s="1"/>
  <c r="L41"/>
  <c r="O41" s="1"/>
  <c r="L40"/>
  <c r="O40" s="1"/>
  <c r="L39"/>
  <c r="O39" s="1"/>
  <c r="L38"/>
  <c r="O38" s="1"/>
  <c r="L37"/>
  <c r="O37" s="1"/>
  <c r="L36"/>
  <c r="O36" s="1"/>
  <c r="L35"/>
  <c r="O35" s="1"/>
  <c r="L34"/>
  <c r="O34" s="1"/>
  <c r="L33"/>
  <c r="O33" s="1"/>
  <c r="L32"/>
  <c r="O32" s="1"/>
  <c r="L31"/>
  <c r="O31" s="1"/>
  <c r="L30"/>
  <c r="O30" s="1"/>
  <c r="L29"/>
  <c r="O29" s="1"/>
  <c r="L28"/>
  <c r="O28" s="1"/>
  <c r="L27"/>
  <c r="O27" s="1"/>
  <c r="L26"/>
  <c r="O26" s="1"/>
  <c r="L25"/>
  <c r="O25" s="1"/>
  <c r="L24"/>
  <c r="O24" s="1"/>
  <c r="L23"/>
  <c r="O23" s="1"/>
  <c r="L22"/>
  <c r="O22" s="1"/>
  <c r="L21"/>
  <c r="O21" s="1"/>
  <c r="L20"/>
  <c r="O20" s="1"/>
  <c r="L19"/>
  <c r="O19" s="1"/>
  <c r="L18"/>
  <c r="O18" s="1"/>
  <c r="L17"/>
  <c r="O17" s="1"/>
  <c r="L16"/>
  <c r="O16" s="1"/>
  <c r="L15"/>
  <c r="O15" s="1"/>
  <c r="L14"/>
  <c r="O14" s="1"/>
  <c r="L13"/>
  <c r="O13" s="1"/>
  <c r="L12"/>
  <c r="O12" s="1"/>
  <c r="L11"/>
  <c r="O11" s="1"/>
  <c r="L10"/>
  <c r="O10" s="1"/>
  <c r="L9"/>
  <c r="O9" s="1"/>
  <c r="L8"/>
  <c r="O8" s="1"/>
  <c r="L7"/>
  <c r="O7" s="1"/>
  <c r="L6"/>
  <c r="O6" s="1"/>
  <c r="L5"/>
  <c r="O5" s="1"/>
  <c r="L4"/>
  <c r="O4" s="1"/>
  <c r="L3"/>
  <c r="O3" s="1"/>
  <c r="E104" i="50"/>
  <c r="F104"/>
  <c r="G104"/>
  <c r="H104"/>
  <c r="I104"/>
  <c r="J104"/>
  <c r="K104"/>
  <c r="L104"/>
  <c r="M104"/>
  <c r="N104"/>
  <c r="O104"/>
  <c r="P104"/>
  <c r="Q104"/>
  <c r="D104"/>
  <c r="M86"/>
  <c r="N86"/>
  <c r="O86"/>
  <c r="P86"/>
  <c r="Q86"/>
  <c r="AD86" s="1"/>
  <c r="E85"/>
  <c r="F85"/>
  <c r="G85"/>
  <c r="H85"/>
  <c r="I85"/>
  <c r="J85"/>
  <c r="K85"/>
  <c r="L85"/>
  <c r="M85"/>
  <c r="N85"/>
  <c r="O85"/>
  <c r="P85"/>
  <c r="Q85"/>
  <c r="D85"/>
  <c r="AE85"/>
  <c r="AF85"/>
  <c r="AG85"/>
  <c r="AH85"/>
  <c r="AI85"/>
  <c r="AD85"/>
  <c r="AE66"/>
  <c r="AF66"/>
  <c r="AG66"/>
  <c r="AH66"/>
  <c r="AI66"/>
  <c r="AD66"/>
  <c r="AD67"/>
  <c r="E66"/>
  <c r="F66"/>
  <c r="G66"/>
  <c r="H66"/>
  <c r="I66"/>
  <c r="J66"/>
  <c r="K66"/>
  <c r="L66"/>
  <c r="M66"/>
  <c r="N66"/>
  <c r="O66"/>
  <c r="P66"/>
  <c r="Q66"/>
  <c r="D66"/>
  <c r="F48"/>
  <c r="G48"/>
  <c r="H48"/>
  <c r="I48"/>
  <c r="J48"/>
  <c r="K48"/>
  <c r="L48"/>
  <c r="M48"/>
  <c r="N48"/>
  <c r="O48"/>
  <c r="P48"/>
  <c r="Q48"/>
  <c r="E48"/>
  <c r="E47"/>
  <c r="F47"/>
  <c r="G47"/>
  <c r="H47"/>
  <c r="I47"/>
  <c r="J47"/>
  <c r="K47"/>
  <c r="L47"/>
  <c r="M47"/>
  <c r="N47"/>
  <c r="O47"/>
  <c r="P47"/>
  <c r="Q47"/>
  <c r="D47"/>
  <c r="AE27"/>
  <c r="AF27"/>
  <c r="AG27"/>
  <c r="AH27"/>
  <c r="AI27"/>
  <c r="AD28"/>
  <c r="AD27"/>
  <c r="E27"/>
  <c r="F27"/>
  <c r="G27"/>
  <c r="H27"/>
  <c r="I27"/>
  <c r="J27"/>
  <c r="K27"/>
  <c r="L27"/>
  <c r="M27"/>
  <c r="N27"/>
  <c r="O27"/>
  <c r="P27"/>
  <c r="Q27"/>
  <c r="D27"/>
  <c r="T7" i="68" l="1"/>
  <c r="R47" i="61"/>
  <c r="D28" i="59"/>
  <c r="G13" i="52"/>
  <c r="D35" i="61" s="1"/>
  <c r="D40" s="1"/>
  <c r="D51" s="1"/>
  <c r="O53" i="66"/>
  <c r="T6" s="1"/>
  <c r="T8" s="1"/>
  <c r="L53"/>
  <c r="T3" s="1"/>
  <c r="T5" s="1"/>
  <c r="K22" i="30"/>
  <c r="L22" s="1"/>
  <c r="I22"/>
  <c r="J22" s="1"/>
  <c r="H22"/>
  <c r="D18" i="49" l="1"/>
  <c r="D14" i="31"/>
  <c r="F18" i="49" l="1"/>
  <c r="C28" i="59"/>
  <c r="D20" i="49"/>
  <c r="J8" i="31"/>
  <c r="K35" i="61" s="1"/>
  <c r="H8" i="31"/>
  <c r="I13"/>
  <c r="H13"/>
  <c r="G13" s="1"/>
  <c r="J13" s="1"/>
  <c r="J12"/>
  <c r="H12"/>
  <c r="E12"/>
  <c r="I12" s="1"/>
  <c r="K9" i="61" l="1"/>
  <c r="F20" i="49"/>
  <c r="C35" i="61"/>
  <c r="K28" i="59"/>
  <c r="K9"/>
  <c r="E14" i="31"/>
  <c r="N3" s="1"/>
  <c r="E10" i="51"/>
  <c r="G14" i="31"/>
  <c r="E27" i="51"/>
  <c r="C40" i="61" l="1"/>
  <c r="C51" s="1"/>
  <c r="D10" i="51"/>
  <c r="F10"/>
  <c r="E9" i="59" s="1"/>
  <c r="O10" i="29"/>
  <c r="D61" i="47" l="1"/>
  <c r="D59"/>
  <c r="D59" i="64"/>
  <c r="H7" i="30"/>
  <c r="J11" i="31"/>
  <c r="H11"/>
  <c r="K13" i="63" l="1"/>
  <c r="H45" i="62" l="1"/>
  <c r="I9" i="63"/>
  <c r="I9" i="29"/>
  <c r="J9" i="63"/>
  <c r="D61" i="64" l="1"/>
  <c r="D60"/>
  <c r="D68" l="1"/>
  <c r="D65"/>
  <c r="D55"/>
  <c r="D33"/>
  <c r="D39" s="1"/>
  <c r="D20"/>
  <c r="D13"/>
  <c r="D8"/>
  <c r="D9" s="1"/>
  <c r="D11" l="1"/>
  <c r="D14"/>
  <c r="D23"/>
  <c r="D26"/>
  <c r="D36"/>
  <c r="D37" l="1"/>
  <c r="D24"/>
  <c r="D27" l="1"/>
  <c r="D40"/>
  <c r="D68" i="47"/>
  <c r="D64" i="61"/>
  <c r="O94"/>
  <c r="N94"/>
  <c r="M94"/>
  <c r="L94"/>
  <c r="K94"/>
  <c r="J94"/>
  <c r="I94"/>
  <c r="H94"/>
  <c r="G94"/>
  <c r="F94"/>
  <c r="E94"/>
  <c r="D94"/>
  <c r="C94"/>
  <c r="Q73"/>
  <c r="P73"/>
  <c r="O73"/>
  <c r="N73"/>
  <c r="M73"/>
  <c r="L73"/>
  <c r="K73"/>
  <c r="J73"/>
  <c r="G73"/>
  <c r="E73"/>
  <c r="D73"/>
  <c r="C73"/>
  <c r="B69"/>
  <c r="Q66"/>
  <c r="P66"/>
  <c r="O66"/>
  <c r="N66"/>
  <c r="M66"/>
  <c r="L66"/>
  <c r="J66"/>
  <c r="J77" s="1"/>
  <c r="I66"/>
  <c r="H66"/>
  <c r="F66"/>
  <c r="Q21"/>
  <c r="P21"/>
  <c r="O21"/>
  <c r="N21"/>
  <c r="M21"/>
  <c r="L21"/>
  <c r="K21"/>
  <c r="J21"/>
  <c r="G21"/>
  <c r="E21"/>
  <c r="D21"/>
  <c r="C21"/>
  <c r="Q14"/>
  <c r="Q25" s="1"/>
  <c r="P14"/>
  <c r="P25" s="1"/>
  <c r="O14"/>
  <c r="N14"/>
  <c r="N25" s="1"/>
  <c r="M14"/>
  <c r="M25" s="1"/>
  <c r="L14"/>
  <c r="L25" s="1"/>
  <c r="J14"/>
  <c r="I14"/>
  <c r="H14"/>
  <c r="F14"/>
  <c r="B13" i="60"/>
  <c r="B20" s="1"/>
  <c r="Q60" i="59"/>
  <c r="P60"/>
  <c r="O60"/>
  <c r="N60"/>
  <c r="M60"/>
  <c r="L60"/>
  <c r="K60"/>
  <c r="J60"/>
  <c r="G60"/>
  <c r="E60"/>
  <c r="D60"/>
  <c r="C60"/>
  <c r="B58"/>
  <c r="B56"/>
  <c r="Q53"/>
  <c r="P53"/>
  <c r="N53"/>
  <c r="M53"/>
  <c r="L53"/>
  <c r="I53"/>
  <c r="H53"/>
  <c r="F53"/>
  <c r="J51"/>
  <c r="J50"/>
  <c r="J49"/>
  <c r="J48"/>
  <c r="Q40"/>
  <c r="P40"/>
  <c r="O40"/>
  <c r="N40"/>
  <c r="M40"/>
  <c r="L40"/>
  <c r="K40"/>
  <c r="J40"/>
  <c r="G40"/>
  <c r="E40"/>
  <c r="D40"/>
  <c r="C40"/>
  <c r="Q33"/>
  <c r="P33"/>
  <c r="N33"/>
  <c r="M33"/>
  <c r="L33"/>
  <c r="J33"/>
  <c r="I33"/>
  <c r="H33"/>
  <c r="F33"/>
  <c r="D33"/>
  <c r="G64" i="58"/>
  <c r="F64"/>
  <c r="E64"/>
  <c r="D64"/>
  <c r="G63"/>
  <c r="F63"/>
  <c r="E63"/>
  <c r="D63"/>
  <c r="G62"/>
  <c r="F62"/>
  <c r="E62"/>
  <c r="D62"/>
  <c r="E61"/>
  <c r="D61"/>
  <c r="G60"/>
  <c r="F60"/>
  <c r="E60"/>
  <c r="D60"/>
  <c r="G59"/>
  <c r="F59"/>
  <c r="E59"/>
  <c r="D59"/>
  <c r="G58"/>
  <c r="F58"/>
  <c r="E58"/>
  <c r="D58"/>
  <c r="G57"/>
  <c r="F57"/>
  <c r="E57"/>
  <c r="D57"/>
  <c r="G56"/>
  <c r="F56"/>
  <c r="E56"/>
  <c r="D56"/>
  <c r="G55"/>
  <c r="F55"/>
  <c r="E55"/>
  <c r="D55"/>
  <c r="G54"/>
  <c r="F54"/>
  <c r="E54"/>
  <c r="D54"/>
  <c r="G53"/>
  <c r="F53"/>
  <c r="E53"/>
  <c r="D53"/>
  <c r="E14"/>
  <c r="D14"/>
  <c r="G13"/>
  <c r="F13"/>
  <c r="E13"/>
  <c r="D13"/>
  <c r="G12"/>
  <c r="F12"/>
  <c r="E12"/>
  <c r="D12"/>
  <c r="E11"/>
  <c r="D11"/>
  <c r="G10"/>
  <c r="F10"/>
  <c r="E10"/>
  <c r="D10"/>
  <c r="G9"/>
  <c r="F9"/>
  <c r="E9"/>
  <c r="D9"/>
  <c r="G8"/>
  <c r="F8"/>
  <c r="E8"/>
  <c r="D8"/>
  <c r="G7"/>
  <c r="F7"/>
  <c r="E7"/>
  <c r="D7"/>
  <c r="G6"/>
  <c r="F6"/>
  <c r="E6"/>
  <c r="D6"/>
  <c r="G5"/>
  <c r="F5"/>
  <c r="E5"/>
  <c r="D5"/>
  <c r="G4"/>
  <c r="F4"/>
  <c r="E4"/>
  <c r="D4"/>
  <c r="G3"/>
  <c r="F3"/>
  <c r="E3"/>
  <c r="D3"/>
  <c r="D15" s="1"/>
  <c r="B37" i="57"/>
  <c r="K34"/>
  <c r="L34" s="1"/>
  <c r="F40" s="1"/>
  <c r="F69" i="61" s="1"/>
  <c r="J34" i="57"/>
  <c r="J33"/>
  <c r="K32"/>
  <c r="E38" s="1"/>
  <c r="J32"/>
  <c r="B32"/>
  <c r="C13"/>
  <c r="K5"/>
  <c r="J5"/>
  <c r="K4"/>
  <c r="E14" s="1"/>
  <c r="J4"/>
  <c r="K3"/>
  <c r="J3"/>
  <c r="J42" i="56"/>
  <c r="J41"/>
  <c r="J40"/>
  <c r="B40"/>
  <c r="J39"/>
  <c r="J38"/>
  <c r="J37"/>
  <c r="B37"/>
  <c r="C16"/>
  <c r="K8"/>
  <c r="L8" s="1"/>
  <c r="J8"/>
  <c r="K7"/>
  <c r="L7" s="1"/>
  <c r="J7"/>
  <c r="K6"/>
  <c r="L6" s="1"/>
  <c r="J6"/>
  <c r="K5"/>
  <c r="J5"/>
  <c r="K4"/>
  <c r="L4" s="1"/>
  <c r="J4"/>
  <c r="K3"/>
  <c r="L3" s="1"/>
  <c r="J3"/>
  <c r="J47" i="55"/>
  <c r="J46"/>
  <c r="J45"/>
  <c r="K44"/>
  <c r="J44"/>
  <c r="K43"/>
  <c r="L43" s="1"/>
  <c r="J43"/>
  <c r="J42"/>
  <c r="C16"/>
  <c r="K8"/>
  <c r="J8"/>
  <c r="K7"/>
  <c r="J7"/>
  <c r="K6"/>
  <c r="J6"/>
  <c r="K5"/>
  <c r="J5"/>
  <c r="K4"/>
  <c r="J4"/>
  <c r="K3"/>
  <c r="J3"/>
  <c r="B7" i="54"/>
  <c r="D6"/>
  <c r="E6" s="1"/>
  <c r="C6"/>
  <c r="C7" s="1"/>
  <c r="I26" i="53"/>
  <c r="E26"/>
  <c r="E24"/>
  <c r="E23"/>
  <c r="I22"/>
  <c r="H22"/>
  <c r="I9"/>
  <c r="I7"/>
  <c r="I6"/>
  <c r="I5"/>
  <c r="Y105" i="50"/>
  <c r="F20" i="52"/>
  <c r="F19"/>
  <c r="E19"/>
  <c r="F18"/>
  <c r="F17"/>
  <c r="F8"/>
  <c r="G8" s="1"/>
  <c r="D10" i="61" s="1"/>
  <c r="F7" i="52"/>
  <c r="G7" s="1"/>
  <c r="D9" i="61" s="1"/>
  <c r="F6" i="52"/>
  <c r="G6" s="1"/>
  <c r="D11" i="61" s="1"/>
  <c r="F5" i="52"/>
  <c r="G5" s="1"/>
  <c r="D13" i="61" s="1"/>
  <c r="G27" i="51"/>
  <c r="H27" s="1"/>
  <c r="F27"/>
  <c r="E48" i="59" s="1"/>
  <c r="G26" i="51"/>
  <c r="G25"/>
  <c r="G24"/>
  <c r="F23"/>
  <c r="G10"/>
  <c r="B10"/>
  <c r="G9"/>
  <c r="E9"/>
  <c r="B9"/>
  <c r="G8"/>
  <c r="E8"/>
  <c r="F8" s="1"/>
  <c r="B8"/>
  <c r="G7"/>
  <c r="E7"/>
  <c r="B7"/>
  <c r="AD9" i="50"/>
  <c r="R105"/>
  <c r="L86"/>
  <c r="K86"/>
  <c r="J86"/>
  <c r="I86"/>
  <c r="H86"/>
  <c r="G86"/>
  <c r="F86"/>
  <c r="E86"/>
  <c r="D86"/>
  <c r="C86"/>
  <c r="R67"/>
  <c r="C18" i="52" s="1"/>
  <c r="R28" i="50"/>
  <c r="R9"/>
  <c r="AE9" s="1"/>
  <c r="R67" i="10"/>
  <c r="AD67" s="1"/>
  <c r="R105"/>
  <c r="E27" i="49"/>
  <c r="B27"/>
  <c r="E26"/>
  <c r="B26"/>
  <c r="E25"/>
  <c r="B25"/>
  <c r="E24"/>
  <c r="B24"/>
  <c r="E23"/>
  <c r="B23"/>
  <c r="E11"/>
  <c r="D11"/>
  <c r="E10"/>
  <c r="E9"/>
  <c r="F9" s="1"/>
  <c r="C11" i="61" s="1"/>
  <c r="E8" i="49"/>
  <c r="F8" s="1"/>
  <c r="C10" i="61" s="1"/>
  <c r="E7" i="49"/>
  <c r="F7" s="1"/>
  <c r="C13" i="61" s="1"/>
  <c r="R28" i="10"/>
  <c r="AD28" s="1"/>
  <c r="R9"/>
  <c r="AD9" s="1"/>
  <c r="J25" i="61" l="1"/>
  <c r="D65" i="58"/>
  <c r="I24" i="53"/>
  <c r="I15"/>
  <c r="I23"/>
  <c r="I14"/>
  <c r="I27"/>
  <c r="I18"/>
  <c r="I25"/>
  <c r="I16"/>
  <c r="R31" i="59"/>
  <c r="C12"/>
  <c r="R12" s="1"/>
  <c r="E10"/>
  <c r="B25" i="51"/>
  <c r="B16"/>
  <c r="F9"/>
  <c r="E11" i="59" s="1"/>
  <c r="B26" i="51"/>
  <c r="B17"/>
  <c r="B24"/>
  <c r="B15"/>
  <c r="B27"/>
  <c r="B18"/>
  <c r="Z105" i="50"/>
  <c r="AA105" s="1"/>
  <c r="AB105" s="1"/>
  <c r="AC105" s="1"/>
  <c r="AE67"/>
  <c r="B13" i="54"/>
  <c r="E13" s="1"/>
  <c r="E14" s="1"/>
  <c r="H7" i="51"/>
  <c r="E13" i="61" s="1"/>
  <c r="R13" s="1"/>
  <c r="M3" i="57"/>
  <c r="G13" s="1"/>
  <c r="H4" i="58"/>
  <c r="I4" s="1"/>
  <c r="H6"/>
  <c r="I6" s="1"/>
  <c r="H7"/>
  <c r="J7" s="1"/>
  <c r="H8"/>
  <c r="J8" s="1"/>
  <c r="H10"/>
  <c r="J10" s="1"/>
  <c r="H11"/>
  <c r="I11" s="1"/>
  <c r="H57"/>
  <c r="J57" s="1"/>
  <c r="H58"/>
  <c r="H61"/>
  <c r="I61" s="1"/>
  <c r="N77" i="61"/>
  <c r="H8" i="51"/>
  <c r="E10" i="61" s="1"/>
  <c r="E18" i="56"/>
  <c r="E17" i="55"/>
  <c r="M5" i="57"/>
  <c r="G15" s="1"/>
  <c r="F17" i="61" s="1"/>
  <c r="M6" i="55"/>
  <c r="M8"/>
  <c r="H9" i="51"/>
  <c r="E11" i="61" s="1"/>
  <c r="F17" i="56"/>
  <c r="H20" i="59" s="1"/>
  <c r="H62" i="58"/>
  <c r="I62" s="1"/>
  <c r="H63"/>
  <c r="I63" s="1"/>
  <c r="H64"/>
  <c r="J64" s="1"/>
  <c r="M3" i="55"/>
  <c r="M5"/>
  <c r="M7"/>
  <c r="M44"/>
  <c r="K9" i="56"/>
  <c r="M32" i="57"/>
  <c r="G38" s="1"/>
  <c r="I69" i="61" s="1"/>
  <c r="H14" i="58"/>
  <c r="I14" s="1"/>
  <c r="M41" i="59"/>
  <c r="Q41"/>
  <c r="F16" i="56"/>
  <c r="I20" i="59" s="1"/>
  <c r="F11" i="49"/>
  <c r="C12" i="61" s="1"/>
  <c r="R12" s="1"/>
  <c r="R86" i="50"/>
  <c r="AE86" s="1"/>
  <c r="AF86" s="1"/>
  <c r="AG86" s="1"/>
  <c r="AH86" s="1"/>
  <c r="AI86" s="1"/>
  <c r="D60" i="47"/>
  <c r="E16" i="55"/>
  <c r="M43"/>
  <c r="M3" i="56"/>
  <c r="M4"/>
  <c r="M5"/>
  <c r="M6"/>
  <c r="M7"/>
  <c r="M8"/>
  <c r="E16"/>
  <c r="E13" i="57"/>
  <c r="L32"/>
  <c r="F38" s="1"/>
  <c r="I56" i="59" s="1"/>
  <c r="H12" i="58"/>
  <c r="J12" s="1"/>
  <c r="H13"/>
  <c r="I13" s="1"/>
  <c r="L61" i="59"/>
  <c r="P61"/>
  <c r="J41"/>
  <c r="N41"/>
  <c r="J53"/>
  <c r="J61" s="1"/>
  <c r="M61"/>
  <c r="Q61"/>
  <c r="O25" i="61"/>
  <c r="M77"/>
  <c r="Q77"/>
  <c r="O77"/>
  <c r="K9" i="55"/>
  <c r="E17" i="56"/>
  <c r="K6" i="57"/>
  <c r="H54" i="58"/>
  <c r="I54" s="1"/>
  <c r="H56"/>
  <c r="J56" s="1"/>
  <c r="N61" i="59"/>
  <c r="L77" i="61"/>
  <c r="P77"/>
  <c r="L5" i="56"/>
  <c r="F18" s="1"/>
  <c r="F20" i="59" s="1"/>
  <c r="H59" i="58"/>
  <c r="I59" s="1"/>
  <c r="H60"/>
  <c r="J60" s="1"/>
  <c r="L41" i="59"/>
  <c r="P41"/>
  <c r="H26" i="63"/>
  <c r="D27" i="51"/>
  <c r="E11"/>
  <c r="D11"/>
  <c r="H10"/>
  <c r="E9" i="61" s="1"/>
  <c r="E61"/>
  <c r="E7" i="54"/>
  <c r="D14" i="61"/>
  <c r="D25" s="1"/>
  <c r="D41" i="59"/>
  <c r="J14" i="58"/>
  <c r="J58"/>
  <c r="I58"/>
  <c r="H3"/>
  <c r="I8"/>
  <c r="H53"/>
  <c r="J4"/>
  <c r="H9"/>
  <c r="J54"/>
  <c r="J63"/>
  <c r="H5"/>
  <c r="I10"/>
  <c r="H55"/>
  <c r="L3" i="57"/>
  <c r="L4"/>
  <c r="F14" s="1"/>
  <c r="H17" i="59" s="1"/>
  <c r="L5" i="57"/>
  <c r="F15" s="1"/>
  <c r="E15"/>
  <c r="E16" s="1"/>
  <c r="M34"/>
  <c r="G40" s="1"/>
  <c r="E40"/>
  <c r="M4"/>
  <c r="G14" s="1"/>
  <c r="H17" i="61" s="1"/>
  <c r="L9" i="56"/>
  <c r="L3" i="55"/>
  <c r="L5"/>
  <c r="L7"/>
  <c r="L8"/>
  <c r="E18"/>
  <c r="L4"/>
  <c r="L6"/>
  <c r="M4"/>
  <c r="L44"/>
  <c r="F7" i="51"/>
  <c r="E13" i="59" s="1"/>
  <c r="R13" s="1"/>
  <c r="AE28" i="50"/>
  <c r="AF28" s="1"/>
  <c r="AG28" s="1"/>
  <c r="AH28" s="1"/>
  <c r="AI28" s="1"/>
  <c r="AF9"/>
  <c r="AG9" s="1"/>
  <c r="AH9" s="1"/>
  <c r="AI9" s="1"/>
  <c r="AD86" i="10"/>
  <c r="C13" i="54" l="1"/>
  <c r="C14" s="1"/>
  <c r="J59" i="58"/>
  <c r="J61"/>
  <c r="G16" i="55"/>
  <c r="I18" i="61" s="1"/>
  <c r="I12" i="58"/>
  <c r="D42" i="56"/>
  <c r="K42" s="1"/>
  <c r="D41"/>
  <c r="K41" s="1"/>
  <c r="D37"/>
  <c r="D39"/>
  <c r="K39" s="1"/>
  <c r="D38"/>
  <c r="D40"/>
  <c r="C42" i="55"/>
  <c r="D26" i="51"/>
  <c r="D25" i="49"/>
  <c r="D23"/>
  <c r="C52" i="59" s="1"/>
  <c r="D24" i="49"/>
  <c r="R20" i="59"/>
  <c r="AD105" i="50"/>
  <c r="E20" i="52" s="1"/>
  <c r="C23" i="49"/>
  <c r="R10" i="59"/>
  <c r="E14"/>
  <c r="E22" s="1"/>
  <c r="I64" i="58"/>
  <c r="I7"/>
  <c r="E23" s="1"/>
  <c r="H16" i="59" s="1"/>
  <c r="G17" i="55"/>
  <c r="H18" i="61" s="1"/>
  <c r="G18" i="55"/>
  <c r="F18" i="61" s="1"/>
  <c r="B14" i="54"/>
  <c r="D27" i="49"/>
  <c r="C51" i="59" s="1"/>
  <c r="R51" s="1"/>
  <c r="D17" i="52"/>
  <c r="G17" s="1"/>
  <c r="D65" i="61" s="1"/>
  <c r="D20" i="52"/>
  <c r="D49" i="59" s="1"/>
  <c r="J62" i="58"/>
  <c r="G17" i="56"/>
  <c r="H20" i="61" s="1"/>
  <c r="I57" i="58"/>
  <c r="D73"/>
  <c r="I60"/>
  <c r="J6"/>
  <c r="J13"/>
  <c r="F23" s="1"/>
  <c r="H16" i="61" s="1"/>
  <c r="E19" i="55"/>
  <c r="D23" i="58"/>
  <c r="I56"/>
  <c r="J11"/>
  <c r="F17" i="55"/>
  <c r="H18" i="59" s="1"/>
  <c r="G18" i="56"/>
  <c r="G16" i="57"/>
  <c r="I17" i="61"/>
  <c r="R17" s="1"/>
  <c r="F11" i="51"/>
  <c r="R32" i="59"/>
  <c r="E19" i="56"/>
  <c r="F19"/>
  <c r="D46" i="55"/>
  <c r="K46" s="1"/>
  <c r="C49" i="59"/>
  <c r="D45" i="55"/>
  <c r="D47"/>
  <c r="K47" s="1"/>
  <c r="C50" i="59"/>
  <c r="K38" i="56"/>
  <c r="M9"/>
  <c r="G16"/>
  <c r="H11" i="51"/>
  <c r="I5" i="58"/>
  <c r="E24" s="1"/>
  <c r="F16" i="59" s="1"/>
  <c r="D24" i="58"/>
  <c r="J5"/>
  <c r="F73"/>
  <c r="H68" i="61" s="1"/>
  <c r="I9" i="58"/>
  <c r="J9"/>
  <c r="H65"/>
  <c r="D72"/>
  <c r="J53"/>
  <c r="I53"/>
  <c r="D74"/>
  <c r="I55"/>
  <c r="E74" s="1"/>
  <c r="F55" i="59" s="1"/>
  <c r="J55" i="58"/>
  <c r="F74" s="1"/>
  <c r="J3"/>
  <c r="H15"/>
  <c r="I3"/>
  <c r="D22"/>
  <c r="F13" i="57"/>
  <c r="F16" s="1"/>
  <c r="L6"/>
  <c r="M6"/>
  <c r="F18" i="55"/>
  <c r="F18" i="59" s="1"/>
  <c r="F16" i="55"/>
  <c r="I18" i="59" s="1"/>
  <c r="L9" i="55"/>
  <c r="M9"/>
  <c r="AF67" i="50"/>
  <c r="B39" i="42"/>
  <c r="C13"/>
  <c r="C11"/>
  <c r="C10"/>
  <c r="F24" i="58" l="1"/>
  <c r="E73"/>
  <c r="H55" i="59" s="1"/>
  <c r="R18"/>
  <c r="H21"/>
  <c r="H22" s="1"/>
  <c r="L42" i="56"/>
  <c r="M42"/>
  <c r="D25" i="58"/>
  <c r="F21" i="59"/>
  <c r="F22" s="1"/>
  <c r="L39" i="56"/>
  <c r="E48"/>
  <c r="M39"/>
  <c r="R18" i="61"/>
  <c r="G19" i="55"/>
  <c r="F27" i="49"/>
  <c r="C64" i="61" s="1"/>
  <c r="R64" s="1"/>
  <c r="E26" i="51"/>
  <c r="G20" i="52"/>
  <c r="D62" i="61" s="1"/>
  <c r="H40" i="59"/>
  <c r="H41" s="1"/>
  <c r="F68" i="61"/>
  <c r="R37" i="59"/>
  <c r="C40" i="56"/>
  <c r="K40"/>
  <c r="M46" i="55"/>
  <c r="G52" s="1"/>
  <c r="H70" i="61" s="1"/>
  <c r="L46" i="55"/>
  <c r="F52" s="1"/>
  <c r="H57" i="59" s="1"/>
  <c r="E52" i="55"/>
  <c r="F16" i="61"/>
  <c r="H21"/>
  <c r="H25" s="1"/>
  <c r="M41" i="56"/>
  <c r="L41"/>
  <c r="C45" i="55"/>
  <c r="C51" s="1"/>
  <c r="K45"/>
  <c r="D42"/>
  <c r="K42" s="1"/>
  <c r="C32" i="57"/>
  <c r="C38" s="1"/>
  <c r="K33"/>
  <c r="G19" i="56"/>
  <c r="I20" i="61"/>
  <c r="I72"/>
  <c r="E47" i="56"/>
  <c r="M38"/>
  <c r="L38"/>
  <c r="C37"/>
  <c r="K37"/>
  <c r="L47" i="55"/>
  <c r="F53" s="1"/>
  <c r="F57" i="59" s="1"/>
  <c r="M47" i="55"/>
  <c r="G53" s="1"/>
  <c r="F70" i="61" s="1"/>
  <c r="E53" i="55"/>
  <c r="I15" i="58"/>
  <c r="E22"/>
  <c r="E25" s="1"/>
  <c r="J65"/>
  <c r="F72"/>
  <c r="D75"/>
  <c r="C21" i="60" s="1"/>
  <c r="J15" i="58"/>
  <c r="F22"/>
  <c r="I65"/>
  <c r="E72"/>
  <c r="F19" i="55"/>
  <c r="AG67" i="50"/>
  <c r="D65" i="47"/>
  <c r="H26" i="29"/>
  <c r="F26" i="51" l="1"/>
  <c r="E50" i="59" s="1"/>
  <c r="H26" i="51"/>
  <c r="G48" i="56"/>
  <c r="F48"/>
  <c r="F59" i="59" s="1"/>
  <c r="E63" i="61"/>
  <c r="C46" i="56"/>
  <c r="F47"/>
  <c r="H59" i="59" s="1"/>
  <c r="F75" i="58"/>
  <c r="E21" i="60" s="1"/>
  <c r="I68" i="61"/>
  <c r="R68" s="1"/>
  <c r="M42" i="55"/>
  <c r="L42"/>
  <c r="K48"/>
  <c r="E51"/>
  <c r="E54" s="1"/>
  <c r="C18" i="60" s="1"/>
  <c r="F25" i="58"/>
  <c r="I16" i="61"/>
  <c r="R16" s="1"/>
  <c r="E39" i="57"/>
  <c r="E41" s="1"/>
  <c r="C20" i="60" s="1"/>
  <c r="K35" i="57"/>
  <c r="M33"/>
  <c r="L33"/>
  <c r="G47" i="56"/>
  <c r="H72" i="61" s="1"/>
  <c r="L45" i="55"/>
  <c r="M45"/>
  <c r="E75" i="58"/>
  <c r="D21" i="60" s="1"/>
  <c r="I55" i="59"/>
  <c r="E46" i="56"/>
  <c r="E49" s="1"/>
  <c r="C19" i="60" s="1"/>
  <c r="K43" i="56"/>
  <c r="M37"/>
  <c r="L37"/>
  <c r="M40"/>
  <c r="L40"/>
  <c r="AH67" i="50"/>
  <c r="D55" i="47"/>
  <c r="E19" i="5"/>
  <c r="F19" s="1"/>
  <c r="E29" i="42" s="1"/>
  <c r="E10" i="5"/>
  <c r="F10" s="1"/>
  <c r="I26" i="51" l="1"/>
  <c r="C22" i="60"/>
  <c r="F51" i="55"/>
  <c r="I57" i="59" s="1"/>
  <c r="R57" s="1"/>
  <c r="I21" i="61"/>
  <c r="I25" s="1"/>
  <c r="F39" i="57"/>
  <c r="L35"/>
  <c r="F46" i="56"/>
  <c r="L43"/>
  <c r="R55" i="59"/>
  <c r="G39" i="57"/>
  <c r="M35"/>
  <c r="M48" i="55"/>
  <c r="G51"/>
  <c r="M43" i="56"/>
  <c r="G46"/>
  <c r="G49" s="1"/>
  <c r="E19" i="60" s="1"/>
  <c r="C15"/>
  <c r="H24" i="29"/>
  <c r="L48" i="55"/>
  <c r="E9" i="42"/>
  <c r="AI67" i="50"/>
  <c r="D11" i="42"/>
  <c r="D10"/>
  <c r="D18" i="52" l="1"/>
  <c r="D19"/>
  <c r="F54" i="55"/>
  <c r="D18" i="60" s="1"/>
  <c r="F41" i="57"/>
  <c r="D20" i="60" s="1"/>
  <c r="H56" i="59"/>
  <c r="H69" i="61"/>
  <c r="G41" i="57"/>
  <c r="E20" i="60" s="1"/>
  <c r="F49" i="56"/>
  <c r="D19" i="60" s="1"/>
  <c r="I59" i="59"/>
  <c r="I60" s="1"/>
  <c r="I61" s="1"/>
  <c r="E18" i="52"/>
  <c r="I70" i="61"/>
  <c r="G54" i="55"/>
  <c r="E18" i="60" s="1"/>
  <c r="E11" i="48"/>
  <c r="F11"/>
  <c r="E22" i="60" l="1"/>
  <c r="D22"/>
  <c r="D48" i="59"/>
  <c r="G19" i="52"/>
  <c r="D61" i="61" s="1"/>
  <c r="D15" i="60"/>
  <c r="E15"/>
  <c r="D50" i="59"/>
  <c r="D53" s="1"/>
  <c r="D61" s="1"/>
  <c r="G18" i="52"/>
  <c r="D63" i="61" s="1"/>
  <c r="R69"/>
  <c r="H73"/>
  <c r="H77" s="1"/>
  <c r="R70"/>
  <c r="I73"/>
  <c r="I77" s="1"/>
  <c r="R56" i="59"/>
  <c r="H60"/>
  <c r="H61" s="1"/>
  <c r="D37" i="48"/>
  <c r="E10"/>
  <c r="E9"/>
  <c r="E8"/>
  <c r="D66" i="61" l="1"/>
  <c r="D77" s="1"/>
  <c r="D33" i="47"/>
  <c r="D20"/>
  <c r="D26" s="1"/>
  <c r="D13"/>
  <c r="D8"/>
  <c r="D9" s="1"/>
  <c r="K23" i="29" l="1"/>
  <c r="D39" i="47"/>
  <c r="H22" i="29"/>
  <c r="D11" i="47"/>
  <c r="D14" s="1"/>
  <c r="D36"/>
  <c r="K21" i="63" s="1"/>
  <c r="D23" i="47"/>
  <c r="J23" i="29" l="1"/>
  <c r="H21"/>
  <c r="H21" i="63"/>
  <c r="H27" s="1"/>
  <c r="D24" i="47"/>
  <c r="K22" i="29"/>
  <c r="D37" i="47"/>
  <c r="K21" i="29"/>
  <c r="E29" i="34"/>
  <c r="E30"/>
  <c r="E31"/>
  <c r="E32"/>
  <c r="E33"/>
  <c r="E34"/>
  <c r="E35"/>
  <c r="E36"/>
  <c r="E37"/>
  <c r="E38"/>
  <c r="E39"/>
  <c r="E28"/>
  <c r="E4"/>
  <c r="E5"/>
  <c r="E6"/>
  <c r="E7"/>
  <c r="E8"/>
  <c r="E9"/>
  <c r="E10"/>
  <c r="E11"/>
  <c r="E12"/>
  <c r="E13"/>
  <c r="E14"/>
  <c r="E3"/>
  <c r="J21" i="63" l="1"/>
  <c r="D40" i="47"/>
  <c r="J22" i="29"/>
  <c r="J21"/>
  <c r="D27" i="47"/>
  <c r="B43" i="44"/>
  <c r="B37" i="42"/>
  <c r="B13" i="35"/>
  <c r="I90" i="25" l="1"/>
  <c r="I78"/>
  <c r="I74"/>
  <c r="I12"/>
  <c r="K41" i="42" l="1"/>
  <c r="Q47" i="44" l="1"/>
  <c r="P47"/>
  <c r="O47"/>
  <c r="N47"/>
  <c r="M47"/>
  <c r="L47"/>
  <c r="K47"/>
  <c r="J47"/>
  <c r="G47"/>
  <c r="E47"/>
  <c r="D47"/>
  <c r="C47"/>
  <c r="Q40"/>
  <c r="Q51" s="1"/>
  <c r="P40"/>
  <c r="P51" s="1"/>
  <c r="O40"/>
  <c r="O51" s="1"/>
  <c r="N40"/>
  <c r="N51" s="1"/>
  <c r="M40"/>
  <c r="M51" s="1"/>
  <c r="L40"/>
  <c r="L51" s="1"/>
  <c r="J40"/>
  <c r="I40"/>
  <c r="H40"/>
  <c r="F40"/>
  <c r="D38"/>
  <c r="O68"/>
  <c r="N68"/>
  <c r="M68"/>
  <c r="L68"/>
  <c r="K68"/>
  <c r="J68"/>
  <c r="I68"/>
  <c r="H68"/>
  <c r="G68"/>
  <c r="F68"/>
  <c r="E68"/>
  <c r="D68"/>
  <c r="C68"/>
  <c r="Q21"/>
  <c r="P21"/>
  <c r="O21"/>
  <c r="N21"/>
  <c r="M21"/>
  <c r="L21"/>
  <c r="K21"/>
  <c r="J21"/>
  <c r="G21"/>
  <c r="E21"/>
  <c r="D21"/>
  <c r="C21"/>
  <c r="Q14"/>
  <c r="P14"/>
  <c r="O14"/>
  <c r="O25" s="1"/>
  <c r="N14"/>
  <c r="M14"/>
  <c r="M25" s="1"/>
  <c r="L14"/>
  <c r="J14"/>
  <c r="I14"/>
  <c r="H14"/>
  <c r="F14"/>
  <c r="J30" i="42"/>
  <c r="J31"/>
  <c r="J32"/>
  <c r="J33"/>
  <c r="J29"/>
  <c r="Q41"/>
  <c r="P41"/>
  <c r="O41"/>
  <c r="N41"/>
  <c r="M41"/>
  <c r="L41"/>
  <c r="J41"/>
  <c r="G41"/>
  <c r="E41"/>
  <c r="D41"/>
  <c r="C41"/>
  <c r="F36"/>
  <c r="Q34"/>
  <c r="P34"/>
  <c r="N34"/>
  <c r="M34"/>
  <c r="L34"/>
  <c r="I34"/>
  <c r="H34"/>
  <c r="F34"/>
  <c r="D9"/>
  <c r="D14" s="1"/>
  <c r="Q21"/>
  <c r="P21"/>
  <c r="O21"/>
  <c r="N21"/>
  <c r="M21"/>
  <c r="L21"/>
  <c r="K21"/>
  <c r="J21"/>
  <c r="G21"/>
  <c r="E21"/>
  <c r="D21"/>
  <c r="C21"/>
  <c r="Q14"/>
  <c r="P14"/>
  <c r="N14"/>
  <c r="M14"/>
  <c r="L14"/>
  <c r="J14"/>
  <c r="I14"/>
  <c r="H14"/>
  <c r="F14"/>
  <c r="J34" l="1"/>
  <c r="L42"/>
  <c r="N42"/>
  <c r="Q25" i="44"/>
  <c r="J25"/>
  <c r="J51"/>
  <c r="L25"/>
  <c r="N25"/>
  <c r="P25"/>
  <c r="P42" i="42"/>
  <c r="M42"/>
  <c r="Q42"/>
  <c r="J42"/>
  <c r="P22"/>
  <c r="N22"/>
  <c r="Q22"/>
  <c r="M22"/>
  <c r="L22"/>
  <c r="J22"/>
  <c r="D22"/>
  <c r="G19" i="5" l="1"/>
  <c r="G18"/>
  <c r="G17"/>
  <c r="G16"/>
  <c r="G8"/>
  <c r="G9"/>
  <c r="G10"/>
  <c r="G7"/>
  <c r="B10"/>
  <c r="B19" s="1"/>
  <c r="B9"/>
  <c r="B8"/>
  <c r="B7"/>
  <c r="D11" i="2"/>
  <c r="C12" i="42" s="1"/>
  <c r="R12" s="1"/>
  <c r="E17" i="2"/>
  <c r="E18"/>
  <c r="E19"/>
  <c r="E20"/>
  <c r="E16"/>
  <c r="E8"/>
  <c r="E9"/>
  <c r="E10"/>
  <c r="E11"/>
  <c r="E7"/>
  <c r="B20"/>
  <c r="B19"/>
  <c r="B18"/>
  <c r="B17"/>
  <c r="B16"/>
  <c r="C13" i="33"/>
  <c r="C16" i="26"/>
  <c r="J6" i="40"/>
  <c r="F6"/>
  <c r="H6" s="1"/>
  <c r="K6" s="1"/>
  <c r="E20" i="41"/>
  <c r="G20" s="1"/>
  <c r="I20" s="1"/>
  <c r="L20" s="1"/>
  <c r="E11"/>
  <c r="G11" s="1"/>
  <c r="I11" s="1"/>
  <c r="L11" s="1"/>
  <c r="D9" i="29" l="1"/>
  <c r="D9" i="63"/>
  <c r="D22" i="29"/>
  <c r="D22" i="63"/>
  <c r="D12" i="29"/>
  <c r="D10" s="1"/>
  <c r="D12" i="63"/>
  <c r="D10" s="1"/>
  <c r="N6" i="40"/>
  <c r="C12" s="1"/>
  <c r="C13" s="1"/>
  <c r="D12"/>
  <c r="D13" s="1"/>
  <c r="P11" i="41"/>
  <c r="C25" s="1"/>
  <c r="M11"/>
  <c r="D25" s="1"/>
  <c r="P20"/>
  <c r="C26" s="1"/>
  <c r="M20"/>
  <c r="D26" s="1"/>
  <c r="J18" i="29" l="1"/>
  <c r="I18"/>
  <c r="D27" i="41"/>
  <c r="C27"/>
  <c r="J5" i="31"/>
  <c r="F14" i="37"/>
  <c r="F13"/>
  <c r="F12"/>
  <c r="F11"/>
  <c r="F6"/>
  <c r="G6" s="1"/>
  <c r="D11" i="44" s="1"/>
  <c r="F7" i="37"/>
  <c r="G7" s="1"/>
  <c r="D9" i="44" s="1"/>
  <c r="F8" i="37"/>
  <c r="G8" s="1"/>
  <c r="D10" i="44" s="1"/>
  <c r="F5" i="37"/>
  <c r="G5" s="1"/>
  <c r="D13" i="44" s="1"/>
  <c r="D36" i="34"/>
  <c r="G35"/>
  <c r="F35"/>
  <c r="D35"/>
  <c r="G34"/>
  <c r="F34"/>
  <c r="D34"/>
  <c r="D10"/>
  <c r="D11"/>
  <c r="D9"/>
  <c r="G10"/>
  <c r="F10"/>
  <c r="G9"/>
  <c r="F9"/>
  <c r="H9" s="1"/>
  <c r="E13" i="37"/>
  <c r="D13"/>
  <c r="D29" i="42" s="1"/>
  <c r="B13" i="14"/>
  <c r="D20" i="2" s="1"/>
  <c r="J9" i="31"/>
  <c r="J10"/>
  <c r="J4"/>
  <c r="J6"/>
  <c r="J7"/>
  <c r="J3"/>
  <c r="I4"/>
  <c r="I5"/>
  <c r="I6"/>
  <c r="I7"/>
  <c r="I8"/>
  <c r="I9"/>
  <c r="I10"/>
  <c r="I11"/>
  <c r="I3"/>
  <c r="H4"/>
  <c r="H5"/>
  <c r="H6"/>
  <c r="H7"/>
  <c r="H9"/>
  <c r="H10"/>
  <c r="H3"/>
  <c r="H14" l="1"/>
  <c r="N4" s="1"/>
  <c r="J14"/>
  <c r="I14"/>
  <c r="H10" i="34"/>
  <c r="I10" s="1"/>
  <c r="B14" i="14"/>
  <c r="J16" i="29"/>
  <c r="I16"/>
  <c r="K61" i="61"/>
  <c r="J10" i="29"/>
  <c r="I10"/>
  <c r="K9" i="42"/>
  <c r="K29" s="1"/>
  <c r="K48" i="59"/>
  <c r="C32" i="42"/>
  <c r="R32" s="1"/>
  <c r="F20" i="2"/>
  <c r="E13" i="14"/>
  <c r="C13"/>
  <c r="C14" s="1"/>
  <c r="G13" i="37"/>
  <c r="D35" i="44" s="1"/>
  <c r="H34" i="34"/>
  <c r="I34" s="1"/>
  <c r="H35"/>
  <c r="I35" s="1"/>
  <c r="H36"/>
  <c r="K35" i="44"/>
  <c r="K9"/>
  <c r="J36" i="34"/>
  <c r="I36"/>
  <c r="H11"/>
  <c r="J11" s="1"/>
  <c r="J9"/>
  <c r="I9"/>
  <c r="J10" l="1"/>
  <c r="J34"/>
  <c r="C38" i="44"/>
  <c r="R38" s="1"/>
  <c r="E14" i="14"/>
  <c r="I11" i="34"/>
  <c r="J35"/>
  <c r="I13" i="12"/>
  <c r="E95" i="25"/>
  <c r="C27" i="48" s="1"/>
  <c r="G39" i="34" l="1"/>
  <c r="F39"/>
  <c r="G33"/>
  <c r="F33"/>
  <c r="G30"/>
  <c r="F30"/>
  <c r="G8"/>
  <c r="F8"/>
  <c r="G5"/>
  <c r="F5"/>
  <c r="D39"/>
  <c r="D38"/>
  <c r="D37"/>
  <c r="D33"/>
  <c r="D32"/>
  <c r="D31"/>
  <c r="D30"/>
  <c r="D29"/>
  <c r="D28"/>
  <c r="D14"/>
  <c r="D13"/>
  <c r="D12"/>
  <c r="D8"/>
  <c r="D7"/>
  <c r="D6"/>
  <c r="D5"/>
  <c r="D4"/>
  <c r="D3"/>
  <c r="F28"/>
  <c r="G28"/>
  <c r="F29"/>
  <c r="G29"/>
  <c r="F31"/>
  <c r="G31"/>
  <c r="F32"/>
  <c r="G32"/>
  <c r="F37"/>
  <c r="G37"/>
  <c r="F38"/>
  <c r="G38"/>
  <c r="G13"/>
  <c r="F13"/>
  <c r="G7"/>
  <c r="F7"/>
  <c r="G4"/>
  <c r="F4"/>
  <c r="G12"/>
  <c r="F12"/>
  <c r="G6"/>
  <c r="F6"/>
  <c r="G3"/>
  <c r="F3"/>
  <c r="B24" i="33"/>
  <c r="B19"/>
  <c r="B25" i="32"/>
  <c r="B22"/>
  <c r="K21" i="33"/>
  <c r="E27" s="1"/>
  <c r="J21"/>
  <c r="J20"/>
  <c r="J19"/>
  <c r="J5"/>
  <c r="K5"/>
  <c r="E15" s="1"/>
  <c r="J4"/>
  <c r="K4"/>
  <c r="E14" s="1"/>
  <c r="J3"/>
  <c r="K3"/>
  <c r="C16" i="32"/>
  <c r="J27"/>
  <c r="J26"/>
  <c r="J25"/>
  <c r="K27"/>
  <c r="K24"/>
  <c r="L24" s="1"/>
  <c r="J24"/>
  <c r="J23"/>
  <c r="J22"/>
  <c r="J8"/>
  <c r="K8"/>
  <c r="J7"/>
  <c r="K7"/>
  <c r="J6"/>
  <c r="K6"/>
  <c r="K5"/>
  <c r="J5"/>
  <c r="J4"/>
  <c r="K4"/>
  <c r="J3"/>
  <c r="K3"/>
  <c r="K8" i="26"/>
  <c r="K7"/>
  <c r="J27"/>
  <c r="J26"/>
  <c r="J25"/>
  <c r="K24"/>
  <c r="L24" s="1"/>
  <c r="J24"/>
  <c r="J23"/>
  <c r="J22"/>
  <c r="K5"/>
  <c r="K3"/>
  <c r="J8"/>
  <c r="J5"/>
  <c r="J7"/>
  <c r="J6"/>
  <c r="J4"/>
  <c r="J3"/>
  <c r="K6"/>
  <c r="K4"/>
  <c r="D40" i="34" l="1"/>
  <c r="E33" i="32"/>
  <c r="H28" i="34"/>
  <c r="J28" s="1"/>
  <c r="K23" i="26"/>
  <c r="L23" s="1"/>
  <c r="M5" i="32"/>
  <c r="M21" i="33"/>
  <c r="G27" s="1"/>
  <c r="H32" i="34"/>
  <c r="J32" s="1"/>
  <c r="K6" i="33"/>
  <c r="H29" i="34"/>
  <c r="H31"/>
  <c r="J31" s="1"/>
  <c r="H38"/>
  <c r="J38" s="1"/>
  <c r="H30"/>
  <c r="J30" s="1"/>
  <c r="H39"/>
  <c r="I39" s="1"/>
  <c r="H37"/>
  <c r="I37" s="1"/>
  <c r="H33"/>
  <c r="J33" s="1"/>
  <c r="H12"/>
  <c r="I12" s="1"/>
  <c r="H13"/>
  <c r="J13" s="1"/>
  <c r="H8"/>
  <c r="I8" s="1"/>
  <c r="H5"/>
  <c r="H6"/>
  <c r="J6" s="1"/>
  <c r="D15"/>
  <c r="H7"/>
  <c r="J7" s="1"/>
  <c r="H14"/>
  <c r="J14" s="1"/>
  <c r="H4"/>
  <c r="H3"/>
  <c r="K19" i="33"/>
  <c r="L19" s="1"/>
  <c r="E13"/>
  <c r="L21"/>
  <c r="F27" s="1"/>
  <c r="F43" i="44" s="1"/>
  <c r="L3" i="33"/>
  <c r="M3"/>
  <c r="G13" s="1"/>
  <c r="I17" i="44" s="1"/>
  <c r="M4" i="33"/>
  <c r="L4"/>
  <c r="L5"/>
  <c r="F15" s="1"/>
  <c r="M5"/>
  <c r="G15" s="1"/>
  <c r="F17" i="44" s="1"/>
  <c r="L5" i="32"/>
  <c r="L6"/>
  <c r="M6"/>
  <c r="M7"/>
  <c r="L7"/>
  <c r="L8"/>
  <c r="E18"/>
  <c r="M8"/>
  <c r="M27"/>
  <c r="L27"/>
  <c r="F33" s="1"/>
  <c r="K9"/>
  <c r="L3"/>
  <c r="E16"/>
  <c r="M3"/>
  <c r="M4"/>
  <c r="E17"/>
  <c r="L4"/>
  <c r="M24"/>
  <c r="E17" i="26"/>
  <c r="E18"/>
  <c r="K22"/>
  <c r="L22" s="1"/>
  <c r="M24"/>
  <c r="M3"/>
  <c r="E16"/>
  <c r="L5"/>
  <c r="M6"/>
  <c r="L6"/>
  <c r="L8"/>
  <c r="M8"/>
  <c r="L4"/>
  <c r="M4"/>
  <c r="M7"/>
  <c r="L7"/>
  <c r="L3"/>
  <c r="M5"/>
  <c r="K9"/>
  <c r="D6" i="14"/>
  <c r="E6" s="1"/>
  <c r="J9" i="29" s="1"/>
  <c r="C6" i="14"/>
  <c r="C7" s="1"/>
  <c r="B7"/>
  <c r="P3" i="30"/>
  <c r="K5"/>
  <c r="L5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13"/>
  <c r="L13" s="1"/>
  <c r="K12"/>
  <c r="L12" s="1"/>
  <c r="G36" i="61" s="1"/>
  <c r="K11" i="30"/>
  <c r="L11" s="1"/>
  <c r="K7"/>
  <c r="L7" s="1"/>
  <c r="K8"/>
  <c r="K9"/>
  <c r="L9" s="1"/>
  <c r="K10"/>
  <c r="K6"/>
  <c r="L6" s="1"/>
  <c r="K4"/>
  <c r="L4" s="1"/>
  <c r="I5"/>
  <c r="I6"/>
  <c r="J6" s="1"/>
  <c r="I7"/>
  <c r="J7" s="1"/>
  <c r="I8"/>
  <c r="I9"/>
  <c r="J9" s="1"/>
  <c r="I10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4"/>
  <c r="J4" s="1"/>
  <c r="H5"/>
  <c r="H6"/>
  <c r="H9"/>
  <c r="H11"/>
  <c r="H12"/>
  <c r="H13"/>
  <c r="H14"/>
  <c r="H15"/>
  <c r="H16"/>
  <c r="H17"/>
  <c r="H18"/>
  <c r="H19"/>
  <c r="H20"/>
  <c r="H21"/>
  <c r="H4"/>
  <c r="H27" i="29"/>
  <c r="L28" i="30" l="1"/>
  <c r="P7" s="1"/>
  <c r="O10"/>
  <c r="K25" i="51" s="1"/>
  <c r="F16" s="1"/>
  <c r="J28" i="30"/>
  <c r="P6" s="1"/>
  <c r="H28"/>
  <c r="I36" i="59"/>
  <c r="I17"/>
  <c r="R17" s="1"/>
  <c r="I31" i="34"/>
  <c r="I28"/>
  <c r="E47" s="1"/>
  <c r="P4" i="30"/>
  <c r="P5" s="1"/>
  <c r="M23" i="26"/>
  <c r="I32" i="34"/>
  <c r="I38"/>
  <c r="G10" i="42"/>
  <c r="G30" s="1"/>
  <c r="G29" i="59"/>
  <c r="J13" i="29"/>
  <c r="F40" i="42"/>
  <c r="I12" i="29"/>
  <c r="K12" s="1"/>
  <c r="I12" i="63"/>
  <c r="I14" i="29"/>
  <c r="K14" s="1"/>
  <c r="I14" i="63"/>
  <c r="K14" s="1"/>
  <c r="K27" s="1"/>
  <c r="G14" i="28" s="1"/>
  <c r="J14" i="29"/>
  <c r="J14" i="63"/>
  <c r="G62" i="61"/>
  <c r="G10"/>
  <c r="R10" s="1"/>
  <c r="J12" i="29"/>
  <c r="J12" i="63"/>
  <c r="I13" i="29"/>
  <c r="K13" s="1"/>
  <c r="R36" i="59"/>
  <c r="F17" i="32"/>
  <c r="H20" i="42" s="1"/>
  <c r="G18" i="26"/>
  <c r="F18" i="44" s="1"/>
  <c r="F18" i="32"/>
  <c r="G17"/>
  <c r="H20" i="44" s="1"/>
  <c r="G18" i="32"/>
  <c r="F20" i="61" s="1"/>
  <c r="G36" i="44"/>
  <c r="G10"/>
  <c r="I29" i="34"/>
  <c r="D48"/>
  <c r="E7" i="14"/>
  <c r="G17" i="26"/>
  <c r="H18" i="44" s="1"/>
  <c r="G16" i="26"/>
  <c r="I18" i="44" s="1"/>
  <c r="G16" i="32"/>
  <c r="D22" i="34"/>
  <c r="I30"/>
  <c r="D49"/>
  <c r="D47"/>
  <c r="M19" i="33"/>
  <c r="G25" s="1"/>
  <c r="I43" i="44" s="1"/>
  <c r="F13" i="33"/>
  <c r="I17" i="42"/>
  <c r="G14" i="33"/>
  <c r="H17" i="44" s="1"/>
  <c r="R17" s="1"/>
  <c r="M6" i="33"/>
  <c r="F14"/>
  <c r="H17" i="42" s="1"/>
  <c r="L6" i="33"/>
  <c r="J5" i="34"/>
  <c r="D24"/>
  <c r="D23"/>
  <c r="J39"/>
  <c r="F49" s="1"/>
  <c r="I33"/>
  <c r="J29"/>
  <c r="F48" s="1"/>
  <c r="I13"/>
  <c r="J37"/>
  <c r="J12"/>
  <c r="I14"/>
  <c r="I5"/>
  <c r="J4"/>
  <c r="F23" s="1"/>
  <c r="H40"/>
  <c r="J8"/>
  <c r="I6"/>
  <c r="I4"/>
  <c r="I7"/>
  <c r="J3"/>
  <c r="H15"/>
  <c r="I3"/>
  <c r="F25" i="33"/>
  <c r="I37" i="42" s="1"/>
  <c r="E25" i="33"/>
  <c r="E16"/>
  <c r="E19" i="32"/>
  <c r="G33"/>
  <c r="M9"/>
  <c r="F16"/>
  <c r="L9"/>
  <c r="F17" i="26"/>
  <c r="H18" i="42" s="1"/>
  <c r="E19" i="26"/>
  <c r="M22"/>
  <c r="L9"/>
  <c r="F16"/>
  <c r="I18" i="42" s="1"/>
  <c r="M9" i="26"/>
  <c r="F18"/>
  <c r="F18" i="42" s="1"/>
  <c r="N6" i="31"/>
  <c r="N7"/>
  <c r="K95" i="25"/>
  <c r="D10" i="48" s="1"/>
  <c r="F18" i="51" l="1"/>
  <c r="E29" i="59"/>
  <c r="E16" i="51"/>
  <c r="I36" i="42"/>
  <c r="I35" i="59"/>
  <c r="F20" i="44"/>
  <c r="I27" i="63"/>
  <c r="G13" i="28" s="1"/>
  <c r="E48" i="34"/>
  <c r="H36" i="42" s="1"/>
  <c r="C4" i="35"/>
  <c r="C4" i="60"/>
  <c r="D25" i="34"/>
  <c r="R20" i="61"/>
  <c r="R21" s="1"/>
  <c r="C12" i="65" s="1"/>
  <c r="F21" i="61"/>
  <c r="F25" s="1"/>
  <c r="F20" i="42"/>
  <c r="F46" i="44"/>
  <c r="F72" i="61"/>
  <c r="C5" i="35"/>
  <c r="C5" i="60"/>
  <c r="R59" i="59"/>
  <c r="R60" s="1"/>
  <c r="D13" i="65" s="1"/>
  <c r="F60" i="59"/>
  <c r="F61" s="1"/>
  <c r="G49"/>
  <c r="R29"/>
  <c r="C6" i="35"/>
  <c r="C6" i="60"/>
  <c r="J40" i="34"/>
  <c r="P8" i="30"/>
  <c r="K15" i="29"/>
  <c r="K15" i="63"/>
  <c r="D10" i="49"/>
  <c r="D19" i="2"/>
  <c r="C29" i="42" s="1"/>
  <c r="D50" i="34"/>
  <c r="R17" i="42"/>
  <c r="H10" i="48"/>
  <c r="G10"/>
  <c r="F22" i="34"/>
  <c r="I16" i="44" s="1"/>
  <c r="G16" i="33"/>
  <c r="G19" i="26"/>
  <c r="F19" i="32"/>
  <c r="I20" i="42"/>
  <c r="E22" i="34"/>
  <c r="I16" i="59" s="1"/>
  <c r="E23" i="34"/>
  <c r="H16" i="42" s="1"/>
  <c r="H21" s="1"/>
  <c r="H22" s="1"/>
  <c r="R18" i="44"/>
  <c r="R36" i="42"/>
  <c r="C9" i="44"/>
  <c r="C35"/>
  <c r="N8" i="31"/>
  <c r="H42" i="44"/>
  <c r="F42"/>
  <c r="I46"/>
  <c r="I20"/>
  <c r="F47" i="34"/>
  <c r="I42" i="44" s="1"/>
  <c r="E24" i="34"/>
  <c r="E49"/>
  <c r="F16" i="42" s="1"/>
  <c r="C12" i="44"/>
  <c r="G19" i="32"/>
  <c r="R18" i="42"/>
  <c r="D10" i="2"/>
  <c r="C14" i="35"/>
  <c r="F24" i="34"/>
  <c r="N5" i="31"/>
  <c r="J15" i="34"/>
  <c r="I40"/>
  <c r="I15"/>
  <c r="F16" i="33"/>
  <c r="F19" i="26"/>
  <c r="E9" i="5"/>
  <c r="D34" i="48" s="1"/>
  <c r="R20" i="44" l="1"/>
  <c r="H16" i="51"/>
  <c r="E36" i="61" s="1"/>
  <c r="R36" s="1"/>
  <c r="D16" i="51"/>
  <c r="D25" s="1"/>
  <c r="E25" s="1"/>
  <c r="H25" s="1"/>
  <c r="I25" s="1"/>
  <c r="E18"/>
  <c r="E28" i="59"/>
  <c r="E33" s="1"/>
  <c r="E41" s="1"/>
  <c r="I21"/>
  <c r="I22" s="1"/>
  <c r="R16"/>
  <c r="R21" s="1"/>
  <c r="C9"/>
  <c r="D26" i="49"/>
  <c r="C48" i="59" s="1"/>
  <c r="C33"/>
  <c r="C41" s="1"/>
  <c r="D12" i="49"/>
  <c r="R20" i="42"/>
  <c r="E50" i="34"/>
  <c r="D14" i="35" s="1"/>
  <c r="E4"/>
  <c r="E4" i="60"/>
  <c r="I16" i="42"/>
  <c r="R16" s="1"/>
  <c r="E6" i="35"/>
  <c r="E6" i="60"/>
  <c r="R72" i="61"/>
  <c r="R73" s="1"/>
  <c r="D12" i="65" s="1"/>
  <c r="F73" i="61"/>
  <c r="F77" s="1"/>
  <c r="R39" i="59"/>
  <c r="F40"/>
  <c r="F41" s="1"/>
  <c r="C7" i="35"/>
  <c r="C8" s="1"/>
  <c r="C7" i="60"/>
  <c r="D4" i="35"/>
  <c r="D4" i="60"/>
  <c r="E5" i="35"/>
  <c r="E5" i="60"/>
  <c r="J15" i="29"/>
  <c r="I15" s="1"/>
  <c r="J15" i="63"/>
  <c r="I15" s="1"/>
  <c r="C8" i="60"/>
  <c r="D6" i="35"/>
  <c r="D6" i="60"/>
  <c r="D5" i="35"/>
  <c r="D5" i="60"/>
  <c r="F10" i="49"/>
  <c r="K11" i="29"/>
  <c r="J11"/>
  <c r="I11" s="1"/>
  <c r="R29" i="42"/>
  <c r="F9" i="5"/>
  <c r="E11" i="42" s="1"/>
  <c r="D12" i="2"/>
  <c r="C9" i="42"/>
  <c r="F21"/>
  <c r="F22" s="1"/>
  <c r="R42" i="44"/>
  <c r="F50" i="34"/>
  <c r="E14" i="35" s="1"/>
  <c r="F25" i="34"/>
  <c r="H16" i="44"/>
  <c r="H21" s="1"/>
  <c r="H25" s="1"/>
  <c r="F16"/>
  <c r="R12"/>
  <c r="I21"/>
  <c r="I25" s="1"/>
  <c r="F19" i="2"/>
  <c r="E25" i="34"/>
  <c r="D18" i="51" l="1"/>
  <c r="H18"/>
  <c r="E35" i="61" s="1"/>
  <c r="E62"/>
  <c r="F25" i="51"/>
  <c r="E49" i="59" s="1"/>
  <c r="R49" s="1"/>
  <c r="R28"/>
  <c r="C14"/>
  <c r="C22" s="1"/>
  <c r="R9"/>
  <c r="F26" i="49"/>
  <c r="C61" i="61" s="1"/>
  <c r="R61" s="1"/>
  <c r="R21" i="42"/>
  <c r="I20" i="63" s="1"/>
  <c r="I21" i="42"/>
  <c r="I22" s="1"/>
  <c r="E12" i="65"/>
  <c r="C22" i="28"/>
  <c r="R35" i="59"/>
  <c r="R40" s="1"/>
  <c r="C13" i="65" s="1"/>
  <c r="I40" i="59"/>
  <c r="I41" s="1"/>
  <c r="E7" i="35"/>
  <c r="E8" s="1"/>
  <c r="E7" i="60"/>
  <c r="E8" s="1"/>
  <c r="D7" i="35"/>
  <c r="D8" s="1"/>
  <c r="D7" i="60"/>
  <c r="D8" s="1"/>
  <c r="F12" i="49"/>
  <c r="C9" i="61"/>
  <c r="C14" s="1"/>
  <c r="C25" s="1"/>
  <c r="C53" i="59"/>
  <c r="C61" s="1"/>
  <c r="R48"/>
  <c r="C14" i="42"/>
  <c r="C22" s="1"/>
  <c r="R9"/>
  <c r="R16" i="44"/>
  <c r="R21" s="1"/>
  <c r="J20" i="63" s="1"/>
  <c r="F21" i="44"/>
  <c r="F25" s="1"/>
  <c r="H19" i="5"/>
  <c r="E35" i="44" s="1"/>
  <c r="D19" i="5"/>
  <c r="R35" i="61" l="1"/>
  <c r="I20" i="29"/>
  <c r="I19"/>
  <c r="F22" i="28"/>
  <c r="E22"/>
  <c r="J19" i="29"/>
  <c r="J20"/>
  <c r="R35" i="44"/>
  <c r="H13" i="12"/>
  <c r="E14"/>
  <c r="I9"/>
  <c r="I7"/>
  <c r="I6"/>
  <c r="I5"/>
  <c r="E13" i="65" l="1"/>
  <c r="I14" i="12"/>
  <c r="F15" i="5" l="1"/>
  <c r="B18"/>
  <c r="B17"/>
  <c r="B16"/>
  <c r="E8"/>
  <c r="F8" s="1"/>
  <c r="E10" i="42" s="1"/>
  <c r="E7" i="5"/>
  <c r="F7" s="1"/>
  <c r="E13" i="42" s="1"/>
  <c r="R13" s="1"/>
  <c r="E14" l="1"/>
  <c r="E22" s="1"/>
  <c r="R10"/>
  <c r="F11" i="2"/>
  <c r="F10" l="1"/>
  <c r="F95" i="25"/>
  <c r="G95"/>
  <c r="H95"/>
  <c r="D8" i="48" s="1"/>
  <c r="G8" s="1"/>
  <c r="I95" i="25"/>
  <c r="D9" i="48" s="1"/>
  <c r="G9" s="1"/>
  <c r="J95" i="25"/>
  <c r="L95"/>
  <c r="D12" i="48" s="1"/>
  <c r="G12" s="1"/>
  <c r="D11" l="1"/>
  <c r="G11" s="1"/>
  <c r="H8"/>
  <c r="H12"/>
  <c r="H9"/>
  <c r="Z105" i="10"/>
  <c r="H11" i="48" l="1"/>
  <c r="H13" s="1"/>
  <c r="G13"/>
  <c r="C21" s="1"/>
  <c r="C26" l="1"/>
  <c r="C29" s="1"/>
  <c r="D36" s="1"/>
  <c r="C18"/>
  <c r="C19"/>
  <c r="C17"/>
  <c r="C20"/>
  <c r="AE28" i="10"/>
  <c r="AF28" s="1"/>
  <c r="AG28" s="1"/>
  <c r="AH28" s="1"/>
  <c r="AI28" s="1"/>
  <c r="AE9"/>
  <c r="AF9" s="1"/>
  <c r="D35" i="48" l="1"/>
  <c r="D33"/>
  <c r="C22"/>
  <c r="D32"/>
  <c r="C86" i="10"/>
  <c r="D86"/>
  <c r="E86"/>
  <c r="F86"/>
  <c r="G86"/>
  <c r="H86"/>
  <c r="I86"/>
  <c r="J86"/>
  <c r="K86"/>
  <c r="L86"/>
  <c r="R86" s="1"/>
  <c r="D38" i="48" l="1"/>
  <c r="C34" s="1"/>
  <c r="C14" i="12" l="1"/>
  <c r="C37" i="48"/>
  <c r="C32"/>
  <c r="C7" i="53" s="1"/>
  <c r="C33" i="48"/>
  <c r="C9" i="53" s="1"/>
  <c r="C23"/>
  <c r="C26" s="1"/>
  <c r="C36" i="48"/>
  <c r="C10" i="53" s="1"/>
  <c r="C35" i="48"/>
  <c r="C24" i="53"/>
  <c r="C27" s="1"/>
  <c r="C7" i="12"/>
  <c r="C8"/>
  <c r="C8" i="53"/>
  <c r="G11"/>
  <c r="C6" i="12"/>
  <c r="C6" i="53"/>
  <c r="C5" i="12"/>
  <c r="C5" i="53"/>
  <c r="C9" i="12"/>
  <c r="F7" i="53"/>
  <c r="C16" i="12"/>
  <c r="C38" i="48"/>
  <c r="C25" i="53" l="1"/>
  <c r="G26" s="1"/>
  <c r="G7"/>
  <c r="J7" s="1"/>
  <c r="K11" i="61" s="1"/>
  <c r="D62" i="64"/>
  <c r="D62" i="47"/>
  <c r="C10" i="12"/>
  <c r="G24" i="53"/>
  <c r="G18"/>
  <c r="H18" s="1"/>
  <c r="G30" i="59" s="1"/>
  <c r="G14" i="53"/>
  <c r="G17"/>
  <c r="H17" s="1"/>
  <c r="G16"/>
  <c r="G19"/>
  <c r="H19" s="1"/>
  <c r="G15"/>
  <c r="H15" s="1"/>
  <c r="F5"/>
  <c r="G5" s="1"/>
  <c r="C11"/>
  <c r="D63" i="64"/>
  <c r="D47"/>
  <c r="D48" s="1"/>
  <c r="D49" s="1"/>
  <c r="I45" i="62" s="1"/>
  <c r="F9" i="53"/>
  <c r="G9" s="1"/>
  <c r="F6"/>
  <c r="G6" s="1"/>
  <c r="F8"/>
  <c r="G8" s="1"/>
  <c r="F10"/>
  <c r="G10" s="1"/>
  <c r="H10" s="1"/>
  <c r="H7"/>
  <c r="D63" i="47"/>
  <c r="D66" s="1"/>
  <c r="J26" i="63" s="1"/>
  <c r="J27" s="1"/>
  <c r="G12" i="28" s="1"/>
  <c r="D47" i="47"/>
  <c r="D48" s="1"/>
  <c r="D49" s="1"/>
  <c r="I25" i="29"/>
  <c r="H14" i="53" l="1"/>
  <c r="G20"/>
  <c r="G25"/>
  <c r="C28"/>
  <c r="G27"/>
  <c r="G28"/>
  <c r="H28" s="1"/>
  <c r="O50" i="59" s="1"/>
  <c r="O53" s="1"/>
  <c r="O61" s="1"/>
  <c r="D6" i="65" s="1"/>
  <c r="G23" i="53"/>
  <c r="G29" s="1"/>
  <c r="J17"/>
  <c r="J14"/>
  <c r="E7" i="28"/>
  <c r="F48" i="48"/>
  <c r="O30" i="59"/>
  <c r="J15" i="53"/>
  <c r="J18"/>
  <c r="G37" i="61" s="1"/>
  <c r="H16" i="53"/>
  <c r="K30" i="59" s="1"/>
  <c r="J16" i="53"/>
  <c r="K37" i="61" s="1"/>
  <c r="K40" s="1"/>
  <c r="K51" s="1"/>
  <c r="J25" i="29"/>
  <c r="D66" i="64"/>
  <c r="H8" i="53"/>
  <c r="J8"/>
  <c r="J9"/>
  <c r="G11" i="61" s="1"/>
  <c r="H9" i="53"/>
  <c r="H26"/>
  <c r="J26"/>
  <c r="H27"/>
  <c r="G50" i="59" s="1"/>
  <c r="J27" i="53"/>
  <c r="G63" i="61" s="1"/>
  <c r="G66" s="1"/>
  <c r="G77" s="1"/>
  <c r="J5" i="53"/>
  <c r="H5"/>
  <c r="H6"/>
  <c r="J6"/>
  <c r="D53" i="64"/>
  <c r="D51"/>
  <c r="D52" s="1"/>
  <c r="J23" i="53"/>
  <c r="H23"/>
  <c r="J24"/>
  <c r="H24"/>
  <c r="H25"/>
  <c r="K50" i="59" s="1"/>
  <c r="K53" s="1"/>
  <c r="K61" s="1"/>
  <c r="J25" i="53"/>
  <c r="K63" i="61" s="1"/>
  <c r="K66" s="1"/>
  <c r="K77" s="1"/>
  <c r="D53" i="47"/>
  <c r="D51"/>
  <c r="D52" s="1"/>
  <c r="I24" i="29"/>
  <c r="I29" s="1"/>
  <c r="J26"/>
  <c r="D69" i="47"/>
  <c r="I18" i="12"/>
  <c r="I17"/>
  <c r="I16"/>
  <c r="I15"/>
  <c r="R37" i="61" l="1"/>
  <c r="G40"/>
  <c r="G51" s="1"/>
  <c r="J20" i="53"/>
  <c r="H20"/>
  <c r="C12" i="28"/>
  <c r="D21" s="1"/>
  <c r="C21" s="1"/>
  <c r="C23"/>
  <c r="F23" s="1"/>
  <c r="C14"/>
  <c r="J11" i="53"/>
  <c r="D69" i="64"/>
  <c r="C13" i="28"/>
  <c r="K24" i="29"/>
  <c r="J24"/>
  <c r="G53" i="59"/>
  <c r="G61" s="1"/>
  <c r="R50"/>
  <c r="H29" i="53"/>
  <c r="J29"/>
  <c r="H11"/>
  <c r="F7" i="2"/>
  <c r="F8"/>
  <c r="C10" i="44" s="1"/>
  <c r="F9" i="2"/>
  <c r="C11" i="44" s="1"/>
  <c r="E23" i="28" l="1"/>
  <c r="F21"/>
  <c r="E21"/>
  <c r="F7"/>
  <c r="D14" i="44"/>
  <c r="D25" s="1"/>
  <c r="C13"/>
  <c r="F12" i="2"/>
  <c r="E17" i="12"/>
  <c r="E15"/>
  <c r="G7" i="28" l="1"/>
  <c r="C14" i="44"/>
  <c r="C25" s="1"/>
  <c r="AA105" i="10" l="1"/>
  <c r="AB105" s="1"/>
  <c r="AC105" s="1"/>
  <c r="AD105" s="1"/>
  <c r="D14" i="37" s="1"/>
  <c r="AE67" i="10"/>
  <c r="AE86" s="1"/>
  <c r="AG9"/>
  <c r="AH9" s="1"/>
  <c r="AI9" s="1"/>
  <c r="D16" i="2" l="1"/>
  <c r="D17"/>
  <c r="D18"/>
  <c r="F24" i="49"/>
  <c r="C62" i="61" s="1"/>
  <c r="R62" s="1"/>
  <c r="F25" i="49"/>
  <c r="C63" i="61" s="1"/>
  <c r="R63" s="1"/>
  <c r="D23" i="32"/>
  <c r="K23" s="1"/>
  <c r="D26" i="26"/>
  <c r="K26" s="1"/>
  <c r="D26" i="32"/>
  <c r="K26" s="1"/>
  <c r="D20" i="33"/>
  <c r="D22" i="32"/>
  <c r="D25" i="26"/>
  <c r="D27"/>
  <c r="K27" s="1"/>
  <c r="D25" i="32"/>
  <c r="D17" i="5"/>
  <c r="E17" s="1"/>
  <c r="F17" s="1"/>
  <c r="E30" i="42" s="1"/>
  <c r="D18" i="5"/>
  <c r="E18" s="1"/>
  <c r="F18" s="1"/>
  <c r="E31" i="42" s="1"/>
  <c r="C22" i="26"/>
  <c r="D11" i="37"/>
  <c r="G11" s="1"/>
  <c r="D39" i="44" s="1"/>
  <c r="E14" i="37"/>
  <c r="D16" i="5"/>
  <c r="AF67" i="10"/>
  <c r="AG67" l="1"/>
  <c r="AF86"/>
  <c r="D28" i="49"/>
  <c r="F23"/>
  <c r="C25" i="32"/>
  <c r="K25"/>
  <c r="C19" i="33"/>
  <c r="C25" s="1"/>
  <c r="K20"/>
  <c r="C31" i="42"/>
  <c r="C30"/>
  <c r="E16" i="5"/>
  <c r="F16" s="1"/>
  <c r="E33" i="42" s="1"/>
  <c r="E34" s="1"/>
  <c r="E42" s="1"/>
  <c r="D20" i="5"/>
  <c r="E33" i="26"/>
  <c r="M27"/>
  <c r="G33" s="1"/>
  <c r="F44" i="44" s="1"/>
  <c r="L27" i="26"/>
  <c r="F33" s="1"/>
  <c r="F38" i="42" s="1"/>
  <c r="L26" i="32"/>
  <c r="M26"/>
  <c r="C33" i="42"/>
  <c r="D21" i="2"/>
  <c r="D30" i="42"/>
  <c r="G14" i="37"/>
  <c r="D36" i="44" s="1"/>
  <c r="C25" i="26"/>
  <c r="C31" s="1"/>
  <c r="K25"/>
  <c r="M26"/>
  <c r="G32" s="1"/>
  <c r="H44" i="44" s="1"/>
  <c r="E32" i="26"/>
  <c r="L26"/>
  <c r="F32" s="1"/>
  <c r="H38" i="42" s="1"/>
  <c r="C22" i="32"/>
  <c r="K22"/>
  <c r="M23"/>
  <c r="L23"/>
  <c r="E32"/>
  <c r="C31" l="1"/>
  <c r="F28" i="49"/>
  <c r="C65" i="61"/>
  <c r="F32" i="32"/>
  <c r="H40" i="42" s="1"/>
  <c r="AH67" i="10"/>
  <c r="AG86"/>
  <c r="G32" i="32"/>
  <c r="H46" i="44" s="1"/>
  <c r="R46" s="1"/>
  <c r="R33" i="42"/>
  <c r="E20" i="5"/>
  <c r="E31" i="26"/>
  <c r="E34" s="1"/>
  <c r="C11" i="35" s="1"/>
  <c r="M25" i="26"/>
  <c r="L25"/>
  <c r="K28"/>
  <c r="F47" i="44"/>
  <c r="F51" s="1"/>
  <c r="E26" i="33"/>
  <c r="E28" s="1"/>
  <c r="C13" i="35" s="1"/>
  <c r="M20" i="33"/>
  <c r="L20"/>
  <c r="K22"/>
  <c r="M22" i="32"/>
  <c r="L22"/>
  <c r="K28"/>
  <c r="E31"/>
  <c r="E34" s="1"/>
  <c r="C12" i="35" s="1"/>
  <c r="C34" i="42"/>
  <c r="C42" s="1"/>
  <c r="R30"/>
  <c r="L25" i="32"/>
  <c r="M25"/>
  <c r="F41" i="42"/>
  <c r="F42" s="1"/>
  <c r="F20" i="5"/>
  <c r="C66" i="61" l="1"/>
  <c r="C77" s="1"/>
  <c r="G31" i="32"/>
  <c r="G34" s="1"/>
  <c r="E12" i="35" s="1"/>
  <c r="AI67" i="10"/>
  <c r="AH86"/>
  <c r="F31" i="32"/>
  <c r="F34" s="1"/>
  <c r="D12" i="35" s="1"/>
  <c r="G26" i="33"/>
  <c r="M22"/>
  <c r="L28" i="26"/>
  <c r="F31"/>
  <c r="L28" i="32"/>
  <c r="G31" i="26"/>
  <c r="M28"/>
  <c r="M28" i="32"/>
  <c r="F26" i="33"/>
  <c r="L22"/>
  <c r="C15" i="35"/>
  <c r="AI86" i="10" l="1"/>
  <c r="D12" i="37"/>
  <c r="E12"/>
  <c r="I40" i="42"/>
  <c r="R40" s="1"/>
  <c r="H37"/>
  <c r="F28" i="33"/>
  <c r="D13" i="35" s="1"/>
  <c r="I38" i="42"/>
  <c r="F34" i="26"/>
  <c r="D11" i="35" s="1"/>
  <c r="G34" i="26"/>
  <c r="E11" i="35" s="1"/>
  <c r="I44" i="44"/>
  <c r="H43"/>
  <c r="G28" i="33"/>
  <c r="E13" i="35" s="1"/>
  <c r="H8" i="5"/>
  <c r="E10" i="44" s="1"/>
  <c r="D31" i="42" l="1"/>
  <c r="D34" s="1"/>
  <c r="D42" s="1"/>
  <c r="G12" i="37"/>
  <c r="D37" i="44" s="1"/>
  <c r="D40" s="1"/>
  <c r="D51" s="1"/>
  <c r="D15" i="35"/>
  <c r="I41" i="42"/>
  <c r="I42" s="1"/>
  <c r="R38"/>
  <c r="R43" i="44"/>
  <c r="H47"/>
  <c r="H51" s="1"/>
  <c r="I47"/>
  <c r="I51" s="1"/>
  <c r="R44"/>
  <c r="E15" i="35"/>
  <c r="R37" i="42"/>
  <c r="H41"/>
  <c r="H42" s="1"/>
  <c r="R10" i="44"/>
  <c r="H9" i="5"/>
  <c r="E11" i="44" s="1"/>
  <c r="H7" i="5"/>
  <c r="R41" i="42" l="1"/>
  <c r="U29" s="1"/>
  <c r="R47" i="44"/>
  <c r="E13"/>
  <c r="R13" s="1"/>
  <c r="F16" i="2"/>
  <c r="F18"/>
  <c r="C37" i="44" s="1"/>
  <c r="F17" i="2"/>
  <c r="C36" i="44" s="1"/>
  <c r="C39" l="1"/>
  <c r="C40" s="1"/>
  <c r="C51" s="1"/>
  <c r="F21" i="2"/>
  <c r="H17" i="5"/>
  <c r="E36" i="44" s="1"/>
  <c r="R36" l="1"/>
  <c r="H18" i="5"/>
  <c r="E37" i="44" s="1"/>
  <c r="H16" i="5"/>
  <c r="E39" i="44" s="1"/>
  <c r="R39" s="1"/>
  <c r="E40" l="1"/>
  <c r="E51" s="1"/>
  <c r="H20" i="5"/>
  <c r="C15" i="12" l="1"/>
  <c r="G11"/>
  <c r="F15" l="1"/>
  <c r="G15" s="1"/>
  <c r="H15" s="1"/>
  <c r="F6"/>
  <c r="G6" s="1"/>
  <c r="H6" s="1"/>
  <c r="F19"/>
  <c r="G19" s="1"/>
  <c r="F10"/>
  <c r="G10" s="1"/>
  <c r="C11"/>
  <c r="F8"/>
  <c r="G8" s="1"/>
  <c r="H8" s="1"/>
  <c r="F17"/>
  <c r="G17" s="1"/>
  <c r="H17" s="1"/>
  <c r="F7"/>
  <c r="G7" s="1"/>
  <c r="H7" s="1"/>
  <c r="F16"/>
  <c r="G16" s="1"/>
  <c r="H16" s="1"/>
  <c r="F5"/>
  <c r="G5" s="1"/>
  <c r="H5" s="1"/>
  <c r="F14"/>
  <c r="G14" s="1"/>
  <c r="H14" s="1"/>
  <c r="K33" i="59" l="1"/>
  <c r="K41" s="1"/>
  <c r="K11"/>
  <c r="K14" s="1"/>
  <c r="K22" s="1"/>
  <c r="H10" i="12"/>
  <c r="H19"/>
  <c r="O31" i="42" s="1"/>
  <c r="O34" s="1"/>
  <c r="O42" s="1"/>
  <c r="J17" i="12"/>
  <c r="J14"/>
  <c r="K31" i="42"/>
  <c r="K34" s="1"/>
  <c r="K42" s="1"/>
  <c r="J16" i="12"/>
  <c r="K37" i="44" s="1"/>
  <c r="K40" s="1"/>
  <c r="K51" s="1"/>
  <c r="F18" i="12"/>
  <c r="G18" s="1"/>
  <c r="F9"/>
  <c r="G9" s="1"/>
  <c r="H9" s="1"/>
  <c r="J6"/>
  <c r="J5"/>
  <c r="K11" i="42"/>
  <c r="K14" s="1"/>
  <c r="K22" s="1"/>
  <c r="J7" i="12"/>
  <c r="J8"/>
  <c r="J15"/>
  <c r="O11" i="59" l="1"/>
  <c r="O14" s="1"/>
  <c r="O22" s="1"/>
  <c r="C7" i="28" s="1"/>
  <c r="G11" i="59"/>
  <c r="K11" i="44"/>
  <c r="K14" s="1"/>
  <c r="K25" s="1"/>
  <c r="K14" i="61"/>
  <c r="K25" s="1"/>
  <c r="G33" i="59"/>
  <c r="G41" s="1"/>
  <c r="O11" i="42"/>
  <c r="O14" s="1"/>
  <c r="O22" s="1"/>
  <c r="O44" s="1"/>
  <c r="O33" i="59"/>
  <c r="O41" s="1"/>
  <c r="H11" i="12"/>
  <c r="G20"/>
  <c r="H18"/>
  <c r="H20" s="1"/>
  <c r="J18"/>
  <c r="G37" i="44" s="1"/>
  <c r="G11" i="42"/>
  <c r="J9" i="12"/>
  <c r="C6" i="65" l="1"/>
  <c r="E6" s="1"/>
  <c r="D7" i="28"/>
  <c r="G14" i="59"/>
  <c r="G22" s="1"/>
  <c r="R11"/>
  <c r="R14" s="1"/>
  <c r="R22" s="1"/>
  <c r="C6" i="28" s="1"/>
  <c r="R30" i="59"/>
  <c r="R33" s="1"/>
  <c r="O63"/>
  <c r="I14" i="28"/>
  <c r="G11" i="44"/>
  <c r="R11" s="1"/>
  <c r="G31" i="42"/>
  <c r="G34" s="1"/>
  <c r="G42" s="1"/>
  <c r="J11" i="12"/>
  <c r="J20"/>
  <c r="G14" i="42"/>
  <c r="G22" s="1"/>
  <c r="R11"/>
  <c r="G40" i="44"/>
  <c r="G51" s="1"/>
  <c r="R37"/>
  <c r="R40" s="1"/>
  <c r="R51" s="1"/>
  <c r="G14" l="1"/>
  <c r="G25" s="1"/>
  <c r="R41" i="59"/>
  <c r="D6" i="28" s="1"/>
  <c r="D8" s="1"/>
  <c r="R11" i="61"/>
  <c r="G14"/>
  <c r="G25" s="1"/>
  <c r="R31" i="42"/>
  <c r="R34" s="1"/>
  <c r="R42" s="1"/>
  <c r="R14"/>
  <c r="R22" s="1"/>
  <c r="J27" i="29"/>
  <c r="I13" i="28" l="1"/>
  <c r="C8"/>
  <c r="K27" i="29"/>
  <c r="I27"/>
  <c r="F11" i="5" l="1"/>
  <c r="D10"/>
  <c r="D11" s="1"/>
  <c r="E11" l="1"/>
  <c r="H10"/>
  <c r="E14" i="61" l="1"/>
  <c r="E25" s="1"/>
  <c r="R9"/>
  <c r="R14" s="1"/>
  <c r="H11" i="5"/>
  <c r="E9" i="44"/>
  <c r="R25" i="61" l="1"/>
  <c r="C5" i="28" s="1"/>
  <c r="C5" i="65"/>
  <c r="E14" i="44"/>
  <c r="E25" s="1"/>
  <c r="R9"/>
  <c r="R14" s="1"/>
  <c r="R25" s="1"/>
  <c r="I12" i="28" l="1"/>
  <c r="D24" i="51"/>
  <c r="D28" s="1"/>
  <c r="E24" l="1"/>
  <c r="H24" s="1"/>
  <c r="H15"/>
  <c r="I24" l="1"/>
  <c r="I28" s="1"/>
  <c r="H28"/>
  <c r="H19"/>
  <c r="E39" i="61"/>
  <c r="E28" i="51"/>
  <c r="F24"/>
  <c r="E65" i="61"/>
  <c r="R39" l="1"/>
  <c r="R40" s="1"/>
  <c r="R51" s="1"/>
  <c r="D5" i="28" s="1"/>
  <c r="E40" i="61"/>
  <c r="E51" s="1"/>
  <c r="E52" i="59"/>
  <c r="F28" i="51"/>
  <c r="E66" i="61"/>
  <c r="E77" s="1"/>
  <c r="R65"/>
  <c r="R66" s="1"/>
  <c r="D5" i="65" s="1"/>
  <c r="E53" i="59" l="1"/>
  <c r="E61" s="1"/>
  <c r="R52"/>
  <c r="R53" s="1"/>
  <c r="R61" s="1"/>
  <c r="E6" i="28" s="1"/>
  <c r="E5" i="65"/>
  <c r="T60" i="61"/>
  <c r="R77"/>
  <c r="E5" i="28" s="1"/>
  <c r="I7" l="1"/>
  <c r="H7"/>
  <c r="F5"/>
  <c r="G5"/>
  <c r="I5" s="1"/>
  <c r="F6"/>
  <c r="E8"/>
  <c r="G6" l="1"/>
  <c r="H5"/>
  <c r="F8"/>
  <c r="H8" s="1"/>
  <c r="H6"/>
  <c r="I6" l="1"/>
  <c r="G8"/>
  <c r="I8" s="1"/>
</calcChain>
</file>

<file path=xl/sharedStrings.xml><?xml version="1.0" encoding="utf-8"?>
<sst xmlns="http://schemas.openxmlformats.org/spreadsheetml/2006/main" count="4158" uniqueCount="1031">
  <si>
    <t>Nazwa projektu</t>
  </si>
  <si>
    <t>Opis Projektu</t>
  </si>
  <si>
    <t>gaz</t>
  </si>
  <si>
    <t>SUMA</t>
  </si>
  <si>
    <t>Grupa taryfowa</t>
  </si>
  <si>
    <t>Liczba odbiorców</t>
  </si>
  <si>
    <t>Zużycie MWh</t>
  </si>
  <si>
    <r>
      <t>wskaźnik emisji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/MWh]</t>
    </r>
  </si>
  <si>
    <r>
      <t>Emisja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</si>
  <si>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Rok</t>
  </si>
  <si>
    <t>Energia elektryczna - zużycie i emisja</t>
  </si>
  <si>
    <t>Gaz - zużycie i emisja</t>
  </si>
  <si>
    <t>zużycie gazu [GJ]</t>
  </si>
  <si>
    <t>wskaźnik emisji [Mg CO2/GJ]</t>
  </si>
  <si>
    <t>Emisja CO2 [Mg CO2]</t>
  </si>
  <si>
    <r>
      <t>zużycie gazu [m</t>
    </r>
    <r>
      <rPr>
        <b/>
        <vertAlign val="superscript"/>
        <sz val="11"/>
        <color rgb="FF000000"/>
        <rFont val="Calibri"/>
        <family val="2"/>
        <charset val="238"/>
      </rPr>
      <t>3</t>
    </r>
    <r>
      <rPr>
        <b/>
        <sz val="11"/>
        <color rgb="FF000000"/>
        <rFont val="Calibri"/>
        <family val="2"/>
        <charset val="238"/>
      </rPr>
      <t>]</t>
    </r>
  </si>
  <si>
    <t>Gaz - zużycie i emisja - wykresy</t>
  </si>
  <si>
    <t>Motocykle</t>
  </si>
  <si>
    <t>Samochody ciężarowe</t>
  </si>
  <si>
    <t>Benzyna</t>
  </si>
  <si>
    <t>Autobusy</t>
  </si>
  <si>
    <t>Ciągniki samochodowe</t>
  </si>
  <si>
    <t>Charakterystyka gminy</t>
  </si>
  <si>
    <t>Liczba mieszkańców</t>
  </si>
  <si>
    <t>Liczba nowych mieszkań</t>
  </si>
  <si>
    <r>
      <t>Ogólna powierzchnia mieszkań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</si>
  <si>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Zarejestrowane podmioty gospodarcze</t>
  </si>
  <si>
    <t>średnioroczny trend zmian</t>
  </si>
  <si>
    <t>Prognoza liczby mieszkańców</t>
  </si>
  <si>
    <t>Nowe mieszkania</t>
  </si>
  <si>
    <r>
      <t>Prognoza ogólnej powierzchni mieszkań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</si>
  <si>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średnia powierzchnia</t>
  </si>
  <si>
    <t>Prognoza zarejestrowanych podmiotów gospodarczych</t>
  </si>
  <si>
    <t>liczba podmiotów</t>
  </si>
  <si>
    <t>Liczba mieszkań</t>
  </si>
  <si>
    <t>Prognoza liczby mieszkań</t>
  </si>
  <si>
    <t>Horyzont czasowy</t>
  </si>
  <si>
    <t>Mieszkania</t>
  </si>
  <si>
    <t>Mieszkańcy</t>
  </si>
  <si>
    <t>Powierzchnia mieszkań</t>
  </si>
  <si>
    <t>Powierzchnia   mieszkań</t>
  </si>
  <si>
    <t>Gaz</t>
  </si>
  <si>
    <t>Ciepło sieciowe i paliwa opałowe - zużycie i emisja</t>
  </si>
  <si>
    <t>%</t>
  </si>
  <si>
    <t>olej opałowy</t>
  </si>
  <si>
    <t>Struktura wykorzystania paliw</t>
  </si>
  <si>
    <t>Zapotrzebowanie na energię cieplną</t>
  </si>
  <si>
    <t>Ogólne zapotrzebowanie na energię w roku 2020 r. [GJ]</t>
  </si>
  <si>
    <t>Zużycie ciepła [GJ]</t>
  </si>
  <si>
    <t>2020 - Prognoza</t>
  </si>
  <si>
    <t>en. elektryczna</t>
  </si>
  <si>
    <t>Potrzeby cieplne zaspokajane z danego rodzaju paliwa [GJ]</t>
  </si>
  <si>
    <t>Zużycie energii [MWh]</t>
  </si>
  <si>
    <t>Podmiot</t>
  </si>
  <si>
    <t>Zużycie energii elektrycznej [MWh]</t>
  </si>
  <si>
    <t>Źródło ciepła</t>
  </si>
  <si>
    <t>Wskaźniki</t>
  </si>
  <si>
    <t>Energia elek.</t>
  </si>
  <si>
    <t>Węgiel</t>
  </si>
  <si>
    <t>Olej opałowy</t>
  </si>
  <si>
    <t>Ciepło sieciowe</t>
  </si>
  <si>
    <t>Źrodło</t>
  </si>
  <si>
    <t>energia elektryczna</t>
  </si>
  <si>
    <t>rok 2020 - prognoza</t>
  </si>
  <si>
    <t>Samochody osobowe</t>
  </si>
  <si>
    <t>Samochody dostawcze</t>
  </si>
  <si>
    <t>Samochody ciężarowe z naczepą</t>
  </si>
  <si>
    <t>Jednostka</t>
  </si>
  <si>
    <r>
      <t>Mg CO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/GJ</t>
    </r>
  </si>
  <si>
    <r>
      <t>g CO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/km</t>
    </r>
  </si>
  <si>
    <t>Zestawienie wskaźników</t>
  </si>
  <si>
    <t>Inwentaryzacja emisji</t>
  </si>
  <si>
    <r>
      <t>Średnia powierzchnia mieszkań 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</si>
  <si>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Informacje o wielkości zanieczyszczeń w ….</t>
  </si>
  <si>
    <t>Referencyjny wskaźnik jednostkowej emisyjności dwutlenku węgla przy produkcji energii elektrycznej do wyznaczania poziomu bazowego dla projektów JI realizowanych w Polsce” (KOBiZE)</t>
  </si>
  <si>
    <r>
      <t>Mg CO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/MWh</t>
    </r>
  </si>
  <si>
    <t>Wartości opałowe (WO) i wskaźniki emisji CO2 (WE) do raportowania w ramach Wspólnotowego Systemu Handlu Uprawnieniami do Emisji (KOBiZE)</t>
  </si>
  <si>
    <t>Załącznik nr 2 - Metodyka - do Regulaminu I konkursu GIS "GAZELA – NISKOEMISYJNY TRANSPORT MIEJSKI" (NFOŚiGW)</t>
  </si>
  <si>
    <t>GJ/m3</t>
  </si>
  <si>
    <t>Gaz ciekły (LPG)</t>
  </si>
  <si>
    <t>GJ/kg</t>
  </si>
  <si>
    <t>Olej napędowy</t>
  </si>
  <si>
    <t>Charakterystyka beznyny, PKN ORLEN, http://www.orlen.pl/PL/DlaBiznesu/Paliwa/Benzyny/Strony/BenzynaBezolowiowa95.aspx</t>
  </si>
  <si>
    <t>Charakterystyka oleju napędowego, PKN ORLEN, http://www.orlen.pl/PL/DlaBiznesu/Paliwa/OlejeNapedowe/Strony/OlejNapedowyEkodieselUltra.aspx</t>
  </si>
  <si>
    <t>Rozporządzenie Ministra Finansów z dnia 22 kwietnia 2004 r. w sprawie obniżenia stawek podatku akcyzowego</t>
  </si>
  <si>
    <t>t/m3</t>
  </si>
  <si>
    <t>Ogólne zapotrzebowanie na energię w roku 2014 r. [GJ]</t>
  </si>
  <si>
    <t>Wskaźnik na rok 2014</t>
  </si>
  <si>
    <r>
      <t>Prognoza średniej powierzchni mieszkań 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</si>
  <si>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rok 2014</t>
  </si>
  <si>
    <t>-</t>
  </si>
  <si>
    <t>węgiel</t>
  </si>
  <si>
    <t>biomasa</t>
  </si>
  <si>
    <t>jednorodzinny</t>
  </si>
  <si>
    <t>kolektory słoneczne</t>
  </si>
  <si>
    <t>wielorodzinny</t>
  </si>
  <si>
    <t>fotowoltaika</t>
  </si>
  <si>
    <t>Wiek budynku</t>
  </si>
  <si>
    <t>TAK</t>
  </si>
  <si>
    <t>NIE</t>
  </si>
  <si>
    <t>Plan montażu OZE</t>
  </si>
  <si>
    <t>nie rozważano</t>
  </si>
  <si>
    <t>Mieszkańcy - ankietyzacja</t>
  </si>
  <si>
    <t>Lp.</t>
  </si>
  <si>
    <t>Dane adresowe</t>
  </si>
  <si>
    <t>Typ obiektu</t>
  </si>
  <si>
    <t>Dane obiektu</t>
  </si>
  <si>
    <t>Stosowane paliwo do ogrzewania, ilość zużytego paliwa</t>
  </si>
  <si>
    <t>Wartość opałowa</t>
  </si>
  <si>
    <t xml:space="preserve">Plan modernizacji systemu grzewczego </t>
  </si>
  <si>
    <t>Ogrzewana powierzchnia budynku [m2]</t>
  </si>
  <si>
    <t>Liczba mieszkanców</t>
  </si>
  <si>
    <t>Węgiel [t]</t>
  </si>
  <si>
    <t>Energia elektryczna</t>
  </si>
  <si>
    <t>Biomasa [m3]</t>
  </si>
  <si>
    <t>x</t>
  </si>
  <si>
    <t>kolektory słoneczne, turbina wiatrowa</t>
  </si>
  <si>
    <t>Kosmonautów 34</t>
  </si>
  <si>
    <t>Prognoza na rok 2020</t>
  </si>
  <si>
    <t>Sanatorium uzdrowiskowe "Wrzos" ul. Leśna 2, 87 - 720 Ciechocinek</t>
  </si>
  <si>
    <t>22 Wojskowy Szpital Uzdrowiskowo - Rehabilitacyjny SP ZOZ ul. Wojska Polskiego 5, 87 - 720 Ciechocinek</t>
  </si>
  <si>
    <t>Sanatorium uzdrowiskowe "Promień" ul. Nieszawska 22, 87 - 720 Ciechocinek</t>
  </si>
  <si>
    <t>Marii Konopnickiej 21</t>
  </si>
  <si>
    <t>Norwida 47</t>
  </si>
  <si>
    <t>Wołuszewska 42</t>
  </si>
  <si>
    <t>kolektory słoneczne, fotowoltaika</t>
  </si>
  <si>
    <t>Sanatorium Uzdrowiskowe "Krystynka" Sp. z o.o. ul. Polna 16, 87-720 Ciechocinek</t>
  </si>
  <si>
    <t>Komunalne Przedsiębiorstwo Użyteczności Publicznej "EKOCIECH" Sp. z o.o. ul. Wojska Polskiego 33, 87 - 720 Ciechocinek</t>
  </si>
  <si>
    <t>Południowa 5</t>
  </si>
  <si>
    <t>Norwida 27</t>
  </si>
  <si>
    <t>Sportowa 22</t>
  </si>
  <si>
    <t>fotowoltaika, pompa ciepła</t>
  </si>
  <si>
    <t>Traugutta</t>
  </si>
  <si>
    <t>Słońsk Górny 62/4</t>
  </si>
  <si>
    <t>pompa ciepła</t>
  </si>
  <si>
    <t>Związkowców 33</t>
  </si>
  <si>
    <t>Krótka 2</t>
  </si>
  <si>
    <t>Traygutta 28a/8</t>
  </si>
  <si>
    <t>Dembickiego 7</t>
  </si>
  <si>
    <t>kolektory słoneczne, popma ciepła</t>
  </si>
  <si>
    <t>inny</t>
  </si>
  <si>
    <t>Wojska Polskiego 12</t>
  </si>
  <si>
    <t>Wołuszewska 96</t>
  </si>
  <si>
    <t>Traugutta 28</t>
  </si>
  <si>
    <t>Bema</t>
  </si>
  <si>
    <t>Kasztanowa 5</t>
  </si>
  <si>
    <t>Osiedle Rewersowo</t>
  </si>
  <si>
    <t>Wierzbowa</t>
  </si>
  <si>
    <t>Słońsk Górny</t>
  </si>
  <si>
    <t>Wojska Polskiego</t>
  </si>
  <si>
    <t>kolektory słoneczne, pompa ciepła</t>
  </si>
  <si>
    <t>Sportowa 451</t>
  </si>
  <si>
    <t>Graniczna</t>
  </si>
  <si>
    <t>Wspólnota mieszkaniowa ul. Konopnickiej 39</t>
  </si>
  <si>
    <t>Mickiewicza 14</t>
  </si>
  <si>
    <t>Podole 54d</t>
  </si>
  <si>
    <t>Kosmonautów</t>
  </si>
  <si>
    <t>Narutowicza</t>
  </si>
  <si>
    <t>Norwida</t>
  </si>
  <si>
    <t>Nieszawska 111a</t>
  </si>
  <si>
    <t>Bema 7</t>
  </si>
  <si>
    <t>Bema 61</t>
  </si>
  <si>
    <t>Kosmonautów 51</t>
  </si>
  <si>
    <t>Łokietka 8</t>
  </si>
  <si>
    <t>Dembickiego 3</t>
  </si>
  <si>
    <t>Bema 101</t>
  </si>
  <si>
    <t>Bema 7a</t>
  </si>
  <si>
    <t>Bema 71</t>
  </si>
  <si>
    <t>Norwida 56</t>
  </si>
  <si>
    <t>Wołuszewska 64</t>
  </si>
  <si>
    <t>Kosmonautów 28</t>
  </si>
  <si>
    <t>Dembickiego 25</t>
  </si>
  <si>
    <t>Traugutta 172</t>
  </si>
  <si>
    <t>Nieszawska 44</t>
  </si>
  <si>
    <t>Bema 67</t>
  </si>
  <si>
    <t>Kosmonautów 33</t>
  </si>
  <si>
    <t>Norwida 11</t>
  </si>
  <si>
    <t>Traugutta 130</t>
  </si>
  <si>
    <t>Bema 19</t>
  </si>
  <si>
    <t>Wołuszewska</t>
  </si>
  <si>
    <t>Bema 143</t>
  </si>
  <si>
    <t>Norwida 48</t>
  </si>
  <si>
    <t>Traugutta 168</t>
  </si>
  <si>
    <t>Bema175</t>
  </si>
  <si>
    <t>Wołuszewska 62</t>
  </si>
  <si>
    <t>Dembickiego 21</t>
  </si>
  <si>
    <t>Wołuszewska 156</t>
  </si>
  <si>
    <t>Sportowa 40</t>
  </si>
  <si>
    <t>Wołuszewska 38</t>
  </si>
  <si>
    <t>inne: ekogroszek</t>
  </si>
  <si>
    <t>Sportowa 38</t>
  </si>
  <si>
    <t>Bema 7B</t>
  </si>
  <si>
    <t>Matejki 6</t>
  </si>
  <si>
    <t>Chopina 6A</t>
  </si>
  <si>
    <t>Łokietka</t>
  </si>
  <si>
    <t>Maria Romanowska</t>
  </si>
  <si>
    <t>Traugutta 66</t>
  </si>
  <si>
    <t>Kosmonautów 40</t>
  </si>
  <si>
    <t>Traugutta 78</t>
  </si>
  <si>
    <t>Dembickiego 5</t>
  </si>
  <si>
    <t>Sanatorium Uzdrowiskowe "Zdrowie" Sp. z o.o. ul. Piłsudzkiego 3, 87 - 720 Ciechocinek</t>
  </si>
  <si>
    <t>Urząd Miejski w Ciechocinku, ul. Kopernika 18, 87 - 720 Ciechocinek</t>
  </si>
  <si>
    <t>Teatr Letni, ul. Żelazna 5, 87 - 720 Ciechocinek</t>
  </si>
  <si>
    <t>Budynek AA, ul. Tężniowa 6, 87 - 720 Ciechocinek</t>
  </si>
  <si>
    <t>Biuro Kultury, Sportu i Promocji, ul. Zdrojowa 2b, 87 - 720 Ciechocinek</t>
  </si>
  <si>
    <t>Arkusz kalkulacyjny inwentaryzacji emisji dwutlenku węgla na terenie Gminy Miejskiej Ciechocinek, wykonany na potrzeby Planu Gospodarki Niskoemisyjnej dla Gminy Miejskiej Ciechocinek</t>
  </si>
  <si>
    <t>Karta informacyjna - inwentaryzacja Gmina Miejska Ciechocinek</t>
  </si>
  <si>
    <t>GJ</t>
  </si>
  <si>
    <t>zużycie gazu [MWh]</t>
  </si>
  <si>
    <t>ciepło sieciowe</t>
  </si>
  <si>
    <t>Zużycie ciepła [MWh]</t>
  </si>
  <si>
    <t>Przelicznik jednostek</t>
  </si>
  <si>
    <t>1 MWh</t>
  </si>
  <si>
    <t>1 GJ</t>
  </si>
  <si>
    <t>MWh</t>
  </si>
  <si>
    <t>Potrzeby cieplne zaspokajane z danego rodzaju paliwa [MWh]</t>
  </si>
  <si>
    <t>Przepompownia Solanki między Tężniami w Ciechocinku (budynek techniczny)</t>
  </si>
  <si>
    <t>Szpital uzdrowiskowy nr III Markiewicz, ul. S. Staszica 5, Ciechocinek, Zespół Szkół Uzdrowiskowych nr 1, ul. S. Staszica 7, Ciechocinek</t>
  </si>
  <si>
    <t>Kotłownia Zakładu Przyrodoleczniczego nr 1, ul. Kościuszki 14, 87-720 Ciechocinek (Budynek Zarządu, Zespół Sanatoryjny nr 5 - Zachęta, Zakład przyrodoleczniczy nr 1 - część mieszkalna)</t>
  </si>
  <si>
    <t>Szpital Uzdrowiskowy nr 1, ul. Armii Krajowej 6, 87-720 Ciechocinek</t>
  </si>
  <si>
    <t>Kompleks Europa, ul. Armii Krajowej 4, 87-720 Ciechocinek (budynek usługowo - mieszkalny, zabytek)</t>
  </si>
  <si>
    <t>Sanatorium Uzdrowiskowe nr IV GRAŻYNA, ul. R. Traugutta 6, 87-720 Ciechocinek</t>
  </si>
  <si>
    <t>Hotel Uzdrowiskowy St. George, ul. Wojska Polskiego 2, 87-720 Ciechocinek</t>
  </si>
  <si>
    <t>Klinika Uzdrowiskowa "Pod Tężniami" im. Jana Pawła II, Spółdzielnia Usług Medycznych, ul. Warzelniana 7, 87-720 Ciechocinek</t>
  </si>
  <si>
    <t>SPZOZ Orion, Warzelniana 1, 87-720 Ciechocinek</t>
  </si>
  <si>
    <t xml:space="preserve">Rok bazowy </t>
  </si>
  <si>
    <t>Zestawienie działań</t>
  </si>
  <si>
    <t>Nr</t>
  </si>
  <si>
    <t>Działanie</t>
  </si>
  <si>
    <t>Sektor działania</t>
  </si>
  <si>
    <t>Okres realizacji</t>
  </si>
  <si>
    <t>Szacowany koszt</t>
  </si>
  <si>
    <t>Efekt ekologiczny</t>
  </si>
  <si>
    <t>rozpoczęcie</t>
  </si>
  <si>
    <t>zakończenie</t>
  </si>
  <si>
    <t>MWh/rok</t>
  </si>
  <si>
    <r>
      <t>Mg CO</t>
    </r>
    <r>
      <rPr>
        <b/>
        <vertAlign val="subscript"/>
        <sz val="10"/>
        <color theme="1"/>
        <rFont val="Calibri Light"/>
        <family val="2"/>
        <charset val="238"/>
      </rPr>
      <t>2</t>
    </r>
    <r>
      <rPr>
        <b/>
        <sz val="10"/>
        <color theme="1"/>
        <rFont val="Calibri Light"/>
        <family val="2"/>
        <charset val="238"/>
      </rPr>
      <t>/rok</t>
    </r>
  </si>
  <si>
    <t>Wzrost produkcji z OZE [MWh]</t>
  </si>
  <si>
    <t>Niskoemisyjne planowanie przestrzenne</t>
  </si>
  <si>
    <t>międzysektorowe</t>
  </si>
  <si>
    <t>Stosowanie w ramach procedur zamówień publicznych kryteriów „Zielonych zamówień publicznych”</t>
  </si>
  <si>
    <t>Działania edukacyjne , w tym organizacja akcji społecznych związanych z ograniczeniem emisji, efektywnością energetyczną oraz wykorzystaniem odnawialnych źródeł energii</t>
  </si>
  <si>
    <t>Modernizacja i budowa energooszczędnego oświetlenia ulicznego</t>
  </si>
  <si>
    <t>Termomodernizacja budynku Miejskiego Ośrodka Pomocy Społecznej w Ciechocinku</t>
  </si>
  <si>
    <t>Wzrost efektywności energetycznej obiektu Sanatorium „Zdrowie”</t>
  </si>
  <si>
    <t>Rozbudowa Kliniki Uzdrowiskowej „Pod Tężniami” im. Jana Pawła II o kompleks rehabilitacyjny wraz z montażem OZE</t>
  </si>
  <si>
    <t>Budowa i rozbudowa ścieżek rowerowych</t>
  </si>
  <si>
    <t>Budowa wiat fotowoltaicznych</t>
  </si>
  <si>
    <t>Systemy Parkuj i Jedź oraz centra przesiadkowe</t>
  </si>
  <si>
    <t>Instalacje OZE na/w obiektach przedsiębiorstw</t>
  </si>
  <si>
    <t>Termomodernizacja budynków mieszkalnych wraz z audytami energetycznymi</t>
  </si>
  <si>
    <t xml:space="preserve">Suma </t>
  </si>
  <si>
    <t>Miejski Ośrodek Pomocy Społecznej ul. Kopernika 14, 87-720 Ciechocinek</t>
  </si>
  <si>
    <t>Montaż odnawialnych źródeł energii na/w budynkach użyteczności publicznej (obiekty:Miejski Ośrodek Pomocy Społecznej, Miejskie Centrum Kultury w Ciechocinku, KPUP „Ekociech” przy ul. Sportowej, budynki szkół</t>
  </si>
  <si>
    <t>Montaż instalacji fotowoltaicznych na budynkach mieszkalnych</t>
  </si>
  <si>
    <t>Montaż instalacji kolektorów słonecznych na budynkach mieszkalnych</t>
  </si>
  <si>
    <t>Montaż instalacji pomp ciepła dla budynków mieszkalnych</t>
  </si>
  <si>
    <t>Centrum Promocji Zdrowia SANVIT Sp. z o.o. ul. Staszica 8, 87-720 Ciechocinek</t>
  </si>
  <si>
    <t>Przedszkole Samorządowe nr 1 "Bajka", ul. Widok 9, 87 - 720 Ciechocinek</t>
  </si>
  <si>
    <t>Zakład Produkcji Zdrojowej, ul. Solna 2, 87-720 Ciechocinek</t>
  </si>
  <si>
    <t>Wzrost efektywności energetycznej obiektu SPZOZ „ORION”</t>
  </si>
  <si>
    <t>Wzrost efektywności energetycznej obiektów sanatoryjnych</t>
  </si>
  <si>
    <t>Urząd Miejski w Ciechocinku, ul.  Kopernika 19,21, 87- 720 Ciechocinek</t>
  </si>
  <si>
    <t>Zużycie energii elektrycznej</t>
  </si>
  <si>
    <t>Zużycie energii cieplnej</t>
  </si>
  <si>
    <t>Emisja CO2 z tytułu zużycia energii elektrycznej</t>
  </si>
  <si>
    <t>Emisja CO2 z tytułu zużycia energii cieplnej</t>
  </si>
  <si>
    <t>Całkowite zużycie energii</t>
  </si>
  <si>
    <t>Całkowita emisja CO2</t>
  </si>
  <si>
    <t>[MWh/rok]</t>
  </si>
  <si>
    <t>[MgCO2/rok]</t>
  </si>
  <si>
    <t>Wartość</t>
  </si>
  <si>
    <t>BUDYNKI UZDROWISKOWE</t>
  </si>
  <si>
    <t>Szpital uzdrowiskowy nr IV, Dom zdrojowy, ul. Leśna 3, 87-780 Ciechocinek</t>
  </si>
  <si>
    <t>brak danych</t>
  </si>
  <si>
    <t>Jednostka odpowiedzialna</t>
  </si>
  <si>
    <t>Referat Gospodarki Terenami i Ochrony Środowiska</t>
  </si>
  <si>
    <t>Referaty zajmujące się procedurami przetargowymi, w tym m.in. Referat Gospodarki Miejskiej; Referat Gospodarki Terenami i Ochrony Środowiska oraz Biuro Organizacyjne</t>
  </si>
  <si>
    <t>Samodzielne Stanowisko ds. Oświaty i Wychowania</t>
  </si>
  <si>
    <t>Referat Gospodarki Miejskiej</t>
  </si>
  <si>
    <t>Kierownik Miejskiego Ośrodka Pomocy Społecznej w Ciechocinku</t>
  </si>
  <si>
    <t xml:space="preserve">Kierownicy poszczególnych jednostek </t>
  </si>
  <si>
    <t>Kierownik jednostki</t>
  </si>
  <si>
    <t xml:space="preserve">Zmiana organizacji ruchu pojazdów (wyłączenie z ruchu samochodowego ulic w centrum miasta)
</t>
  </si>
  <si>
    <t xml:space="preserve">Kampanie społeczne związane z ekologicznym transportem
</t>
  </si>
  <si>
    <t>Kierownicy poszczególnych przedsiębiorstw</t>
  </si>
  <si>
    <t xml:space="preserve">Mieszkańcy </t>
  </si>
  <si>
    <t>Wskaźnik monitoringu</t>
  </si>
  <si>
    <t>Źródło finansowania</t>
  </si>
  <si>
    <t>środki własne</t>
  </si>
  <si>
    <t>środki własne, środki NFOŚiGW i WFOŚiGW</t>
  </si>
  <si>
    <t>środki własne, środki zewnętrzne, w tym: środki unijne i środki krajowe</t>
  </si>
  <si>
    <t>środki WFOŚiGW</t>
  </si>
  <si>
    <t>Liczba zaktualizowanych dokumentów w zakresie planowania przestrzennego [szt./rok]</t>
  </si>
  <si>
    <t>Liczba postępowań przetargowych z zastosowaniem kryteriów środowiskowych [szt./rok]</t>
  </si>
  <si>
    <t>Liczba przeprowadzonych kampanii edukacyjnych [szt./rok]</t>
  </si>
  <si>
    <t>Liczba zmodernizowanych puntków świetlnych [szt./rok]</t>
  </si>
  <si>
    <t xml:space="preserve">Powierzchnia obiektu podannego termomodernizacji [m2/rok]; Zużycie energii przed i po przeprowadzeniu inwestycji [MWh/rok]  </t>
  </si>
  <si>
    <t>Liczba nowopowstałych instalacji OZE [szt/./rok]; Moc nowopowstałych instalacji OZE [kW/rok]</t>
  </si>
  <si>
    <t>Powierzchnia zmodernizowanego budynku [m2/rok]</t>
  </si>
  <si>
    <t>Powierzchnia zmodernizowanych budynku [m2/rok]</t>
  </si>
  <si>
    <t>Długość wybudowanych i rozbudowanych ścieżek rowerowych [km/rok]</t>
  </si>
  <si>
    <t>Liczba wybudowanych wiat fotowoltaicznych [szt./rok]; moc wybudowanych wiat fotowoltaicznych [kW/rok]</t>
  </si>
  <si>
    <t>Liczba nowopowstałych miejsc parkingowych [szt./rok]</t>
  </si>
  <si>
    <t xml:space="preserve">Powierzchnia miasta wyłaczona z ruchu samochodowego [km2/rok]; długość dróg wyłączonych z ruchu samochodowego [km/rok] </t>
  </si>
  <si>
    <t>Liczba przeprowadzonych kampanii społecznych [szt./rok]</t>
  </si>
  <si>
    <t>Liczba wymienionych kotłów [szt./rok]</t>
  </si>
  <si>
    <t>Planowane rezultaty</t>
  </si>
  <si>
    <t xml:space="preserve">% </t>
  </si>
  <si>
    <t>Udział energii odnawialnej w całkowitym bilansie energetycznym Gminy</t>
  </si>
  <si>
    <t>Efekt ekologiczny działań zaplanowanych w ramach PGN</t>
  </si>
  <si>
    <t>Wzrost wykorzystania energii z OZE [MWh/rok]</t>
  </si>
  <si>
    <t>Budynki mieszkalne</t>
  </si>
  <si>
    <t>Redukcja zużycia energii końcowej [MWh/rok]</t>
  </si>
  <si>
    <t>Redukcja emisji CO2 [Mg/rok]</t>
  </si>
  <si>
    <t>Wykorzystanie energii ze źródeł odnawialnych [MWh/rok]</t>
  </si>
  <si>
    <t>Zużycie energii końcowej [MWh/rok]</t>
  </si>
  <si>
    <t>Emisja CO2 [Mg/rok]</t>
  </si>
  <si>
    <t>Wskaźnik emisji CO2 dla energii elektrycznej [Mg/MWh]</t>
  </si>
  <si>
    <t>Wskaźnik emisji CO2 dla energii cieplnej [Mg/GJ]</t>
  </si>
  <si>
    <t>Charakterystyka systemu oświetleniowego - stan na rok 2014</t>
  </si>
  <si>
    <t>Zużycie energii [GJ]</t>
  </si>
  <si>
    <t>Charakterystyka systemu oświetleniowego - prognoza na rok 2020</t>
  </si>
  <si>
    <r>
      <t>Wskaźnik emisji [MgCO</t>
    </r>
    <r>
      <rPr>
        <b/>
        <vertAlign val="subscript"/>
        <sz val="10"/>
        <color theme="1"/>
        <rFont val="Calibri"/>
        <family val="2"/>
        <charset val="238"/>
        <scheme val="major"/>
      </rPr>
      <t>2</t>
    </r>
    <r>
      <rPr>
        <b/>
        <sz val="10"/>
        <color theme="1"/>
        <rFont val="Calibri"/>
        <family val="2"/>
        <charset val="238"/>
        <scheme val="major"/>
      </rPr>
      <t>/MWh]</t>
    </r>
  </si>
  <si>
    <r>
      <t>wskaźnik emisji [MgCO</t>
    </r>
    <r>
      <rPr>
        <b/>
        <vertAlign val="subscript"/>
        <sz val="10"/>
        <color theme="1"/>
        <rFont val="Calibri"/>
        <family val="2"/>
        <charset val="238"/>
        <scheme val="major"/>
      </rPr>
      <t>2</t>
    </r>
    <r>
      <rPr>
        <b/>
        <sz val="10"/>
        <color theme="1"/>
        <rFont val="Calibri"/>
        <family val="2"/>
        <charset val="238"/>
        <scheme val="major"/>
      </rPr>
      <t>/GJ]</t>
    </r>
  </si>
  <si>
    <r>
      <t>Emisja [Mg CO</t>
    </r>
    <r>
      <rPr>
        <b/>
        <vertAlign val="subscript"/>
        <sz val="10"/>
        <color theme="1"/>
        <rFont val="Calibri"/>
        <family val="2"/>
        <charset val="238"/>
        <scheme val="major"/>
      </rPr>
      <t>2</t>
    </r>
    <r>
      <rPr>
        <b/>
        <sz val="10"/>
        <color theme="1"/>
        <rFont val="Calibri"/>
        <family val="2"/>
        <charset val="238"/>
        <scheme val="major"/>
      </rPr>
      <t>]</t>
    </r>
  </si>
  <si>
    <r>
      <t>Powierzchnia użytkowa [m</t>
    </r>
    <r>
      <rPr>
        <b/>
        <vertAlign val="super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>]</t>
    </r>
  </si>
  <si>
    <r>
      <t>Emisja CO</t>
    </r>
    <r>
      <rPr>
        <b/>
        <vertAlign val="sub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 xml:space="preserve"> z energii elektrycznej [Mg CO</t>
    </r>
    <r>
      <rPr>
        <b/>
        <vertAlign val="sub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>]</t>
    </r>
  </si>
  <si>
    <r>
      <t>Emisja CO</t>
    </r>
    <r>
      <rPr>
        <b/>
        <vertAlign val="sub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 xml:space="preserve"> ze zużycia energii na potrzeby cieplne [Mg CO</t>
    </r>
    <r>
      <rPr>
        <b/>
        <vertAlign val="sub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>]</t>
    </r>
  </si>
  <si>
    <t>Łączna liczba pojazdów</t>
  </si>
  <si>
    <t>Liczba pojazdów</t>
  </si>
  <si>
    <t>Rodzaj Paliwa</t>
  </si>
  <si>
    <t>Gęstość paliwa [t/m3]</t>
  </si>
  <si>
    <t>Średni przebieg [km/rok]</t>
  </si>
  <si>
    <t>Średnie spalanie [dm3/km]</t>
  </si>
  <si>
    <t>wartość opałowa [GJ/kg]</t>
  </si>
  <si>
    <t>Zużycie paliwa [GJ/rok]</t>
  </si>
  <si>
    <t>Zużycie paliwa [MWh/rok]</t>
  </si>
  <si>
    <t xml:space="preserve">benzyna </t>
  </si>
  <si>
    <t>Diesel</t>
  </si>
  <si>
    <t>olej napędowy</t>
  </si>
  <si>
    <t>LPG</t>
  </si>
  <si>
    <t>gaz płynny (LPG)</t>
  </si>
  <si>
    <t>Sam. Osobowe</t>
  </si>
  <si>
    <t>TRANSPORT PRYWATNY</t>
  </si>
  <si>
    <r>
      <t>Powierzchnia użytkowa [m</t>
    </r>
    <r>
      <rPr>
        <b/>
        <vertAlign val="super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>]</t>
    </r>
  </si>
  <si>
    <r>
      <t>Emisja CO</t>
    </r>
    <r>
      <rPr>
        <b/>
        <vertAlign val="sub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 xml:space="preserve"> z energii elektrycznej [Mg CO</t>
    </r>
    <r>
      <rPr>
        <b/>
        <vertAlign val="sub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>]</t>
    </r>
  </si>
  <si>
    <r>
      <t>Emisja CO</t>
    </r>
    <r>
      <rPr>
        <b/>
        <vertAlign val="sub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 xml:space="preserve"> ze zużycia energii na potrzeby cieplne [Mg CO</t>
    </r>
    <r>
      <rPr>
        <b/>
        <vertAlign val="sub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>]</t>
    </r>
  </si>
  <si>
    <t>Tabor gminny</t>
  </si>
  <si>
    <t>TRANSPORT KOMERCYJNY</t>
  </si>
  <si>
    <t>Samochody służbowe</t>
  </si>
  <si>
    <t>Śmieciarki</t>
  </si>
  <si>
    <t>Pozostałe pojazdy służące do utrzymania porządku w Mieście Ciechocinek</t>
  </si>
  <si>
    <t>Roczne zużycie paliw [dm3]</t>
  </si>
  <si>
    <t>Rodzaj paliwa</t>
  </si>
  <si>
    <t>TRANSPORT GMINNY</t>
  </si>
  <si>
    <t>Transport prywatny</t>
  </si>
  <si>
    <t>Transport komercyjny</t>
  </si>
  <si>
    <t>Zużycie energii [GJ/rok]</t>
  </si>
  <si>
    <t>Zużycie [MWh/rok]</t>
  </si>
  <si>
    <t>Zużycie paliw</t>
  </si>
  <si>
    <t>Biomasa</t>
  </si>
  <si>
    <t>Mg</t>
  </si>
  <si>
    <t>m3</t>
  </si>
  <si>
    <t>Zużycie ciepła [GJ/rok]</t>
  </si>
  <si>
    <t xml:space="preserve">Zużycie paliwa </t>
  </si>
  <si>
    <t>Zużycie ciepła w budynkach ankietowanych</t>
  </si>
  <si>
    <r>
      <t>wskaźnik emisji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/GJ]</t>
    </r>
  </si>
  <si>
    <t xml:space="preserve">Przemysł </t>
  </si>
  <si>
    <t>Gospodarstwa domowe</t>
  </si>
  <si>
    <t>Użyteczność publiczna</t>
  </si>
  <si>
    <t>Handel/usługi</t>
  </si>
  <si>
    <t>Liczba odbiorców [budynków]</t>
  </si>
  <si>
    <t>Powierzchnia ogrzewanych budynków</t>
  </si>
  <si>
    <t>Charakterystyka miejskiego systemu ciepłowniczego</t>
  </si>
  <si>
    <t>źródło: Ekociech Sp. z o.o. Ciechocinek</t>
  </si>
  <si>
    <t>Kategoria</t>
  </si>
  <si>
    <t>Paliwa kopalne</t>
  </si>
  <si>
    <t>Energia odnawialna</t>
  </si>
  <si>
    <t>Razem</t>
  </si>
  <si>
    <t>Gaz ciekły</t>
  </si>
  <si>
    <t xml:space="preserve"> </t>
  </si>
  <si>
    <t>Budynki komunalne</t>
  </si>
  <si>
    <t>Przemysł</t>
  </si>
  <si>
    <t>TRANSPORT:</t>
  </si>
  <si>
    <t>Transport</t>
  </si>
  <si>
    <t>Budynki niekomunalne</t>
  </si>
  <si>
    <t>Prognoza 2020</t>
  </si>
  <si>
    <t>Samochody policyjne</t>
  </si>
  <si>
    <t>Komunalne oświetlenie publiczne</t>
  </si>
  <si>
    <t>System oświetlenia publicznego</t>
  </si>
  <si>
    <t>Wskaźnik emisji CO2</t>
  </si>
  <si>
    <t>Emisja CO2</t>
  </si>
  <si>
    <t xml:space="preserve">Ograniczenie emisji z budynków mieszkalnych – wymiana kotłów </t>
  </si>
  <si>
    <t>Średnie spalanie [l/km]</t>
  </si>
  <si>
    <t>Długość trasy [km]</t>
  </si>
  <si>
    <t xml:space="preserve">Liczba samochodów korzystających z obiektu P&amp;R </t>
  </si>
  <si>
    <t xml:space="preserve">Liczba dni roboczych w roku </t>
  </si>
  <si>
    <t>Roczne zużycie paliwa [l/rok]</t>
  </si>
  <si>
    <t xml:space="preserve">Gęstość paliwa [kg/l] </t>
  </si>
  <si>
    <t>Roczne zużycie paliwa w [kg/ rok]</t>
  </si>
  <si>
    <t>Wartość opałowa [MJ/kg]</t>
  </si>
  <si>
    <t>Wartość opałowa [GJ/kg]</t>
  </si>
  <si>
    <t>Roczne zużycie energii w GJ/rok</t>
  </si>
  <si>
    <r>
      <t>Wskaźnik emisji</t>
    </r>
    <r>
      <rPr>
        <b/>
        <sz val="9"/>
        <color theme="1"/>
        <rFont val="Arial"/>
        <family val="2"/>
        <charset val="238"/>
      </rPr>
      <t xml:space="preserve"> CO</t>
    </r>
    <r>
      <rPr>
        <b/>
        <vertAlign val="subscript"/>
        <sz val="9"/>
        <color theme="1"/>
        <rFont val="Arial"/>
        <family val="2"/>
        <charset val="238"/>
      </rPr>
      <t>2</t>
    </r>
  </si>
  <si>
    <t>Wskaźnik emisji</t>
  </si>
  <si>
    <r>
      <t xml:space="preserve">Emisja </t>
    </r>
    <r>
      <rPr>
        <b/>
        <sz val="9"/>
        <color rgb="FF000000"/>
        <rFont val="Arial"/>
        <family val="2"/>
        <charset val="238"/>
      </rPr>
      <t xml:space="preserve">[Mg </t>
    </r>
    <r>
      <rPr>
        <b/>
        <sz val="9"/>
        <color theme="1"/>
        <rFont val="Arial"/>
        <family val="2"/>
        <charset val="238"/>
      </rPr>
      <t>CO</t>
    </r>
    <r>
      <rPr>
        <b/>
        <vertAlign val="subscript"/>
        <sz val="9"/>
        <color theme="1"/>
        <rFont val="Arial"/>
        <family val="2"/>
        <charset val="238"/>
      </rPr>
      <t>2</t>
    </r>
    <r>
      <rPr>
        <b/>
        <sz val="9"/>
        <color rgb="FF000000"/>
        <rFont val="Arial"/>
        <family val="2"/>
        <charset val="238"/>
      </rPr>
      <t xml:space="preserve"> /rok]</t>
    </r>
  </si>
  <si>
    <t xml:space="preserve"> [kg/GJ]</t>
  </si>
  <si>
    <r>
      <t>[Mg</t>
    </r>
    <r>
      <rPr>
        <b/>
        <sz val="9"/>
        <color theme="1"/>
        <rFont val="Arial"/>
        <family val="2"/>
        <charset val="238"/>
      </rPr>
      <t>CO</t>
    </r>
    <r>
      <rPr>
        <b/>
        <vertAlign val="subscript"/>
        <sz val="9"/>
        <color theme="1"/>
        <rFont val="Arial"/>
        <family val="2"/>
        <charset val="238"/>
      </rPr>
      <t xml:space="preserve">2 </t>
    </r>
    <r>
      <rPr>
        <b/>
        <sz val="9"/>
        <color rgb="FF000000"/>
        <rFont val="Arial"/>
        <family val="2"/>
        <charset val="238"/>
      </rPr>
      <t>/GJ]</t>
    </r>
  </si>
  <si>
    <t>1.</t>
  </si>
  <si>
    <t>2.</t>
  </si>
  <si>
    <t>3.</t>
  </si>
  <si>
    <t>4.</t>
  </si>
  <si>
    <t>5 = (1 x 2 x 3 x 4)</t>
  </si>
  <si>
    <t>6.</t>
  </si>
  <si>
    <t>7 = (5 x 6)</t>
  </si>
  <si>
    <t>8.</t>
  </si>
  <si>
    <t>9 = 8/1000</t>
  </si>
  <si>
    <t>10 = (7 x 9)</t>
  </si>
  <si>
    <t>11.</t>
  </si>
  <si>
    <t>12.</t>
  </si>
  <si>
    <t>13 =</t>
  </si>
  <si>
    <t>(10 x 12)</t>
  </si>
  <si>
    <r>
      <t xml:space="preserve">Obiekt </t>
    </r>
    <r>
      <rPr>
        <b/>
        <sz val="10"/>
        <color theme="1"/>
        <rFont val="Arial"/>
        <family val="2"/>
        <charset val="238"/>
      </rPr>
      <t xml:space="preserve">P&amp;R </t>
    </r>
  </si>
  <si>
    <t>Emisja</t>
  </si>
  <si>
    <t>Energia [MWh/rok]</t>
  </si>
  <si>
    <r>
      <t xml:space="preserve">[Mg </t>
    </r>
    <r>
      <rPr>
        <b/>
        <sz val="10"/>
        <color theme="1"/>
        <rFont val="Arial"/>
        <family val="2"/>
        <charset val="238"/>
      </rPr>
      <t>CO</t>
    </r>
    <r>
      <rPr>
        <b/>
        <vertAlign val="subscript"/>
        <sz val="10"/>
        <color theme="1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>/rok]</t>
    </r>
  </si>
  <si>
    <t>Zintegrowane Centrum Przesiadkowe</t>
  </si>
  <si>
    <t xml:space="preserve">RAZEM </t>
  </si>
  <si>
    <t>Dni robocze</t>
  </si>
  <si>
    <t>Średnia ilość osób korzystających ze ścieżki rowerowej w dzień roboczy</t>
  </si>
  <si>
    <t>Udział procentowy rowerzystów, którzy przesiedli się z transportu indywidualnego</t>
  </si>
  <si>
    <t>Liczba osób</t>
  </si>
  <si>
    <t xml:space="preserve">Liczba samochodów </t>
  </si>
  <si>
    <t>3 =(1 x 2)</t>
  </si>
  <si>
    <t>4 =(3 / 1,5*)</t>
  </si>
  <si>
    <t>Długość ścieżki rowerowej</t>
  </si>
  <si>
    <t>Liczba samochodów</t>
  </si>
  <si>
    <t>Liczba dni roboczych w roku</t>
  </si>
  <si>
    <t>Gęstość paliwa [kg/l]</t>
  </si>
  <si>
    <t>Roczne zużycie energii w MWh/rok</t>
  </si>
  <si>
    <t>[km]</t>
  </si>
  <si>
    <t>x=10 x 0,277</t>
  </si>
  <si>
    <t>13 =(10 x 12)</t>
  </si>
  <si>
    <t>Dni wolne</t>
  </si>
  <si>
    <t>Średnia ilość osób korzystających ze ścieżki rowerowej w dzień wolny od pracy</t>
  </si>
  <si>
    <t>3 =(1x2)</t>
  </si>
  <si>
    <t>[MgCO2/GJ]</t>
  </si>
  <si>
    <t>[Mg CO2/rok]</t>
  </si>
  <si>
    <t>Rodzaj dni</t>
  </si>
  <si>
    <t>Dni wolne od pracy</t>
  </si>
  <si>
    <t>Objaśnienia: „Wartość opałowa” oraz „ Wskaźnik emisji CO2” źródło: „Wartości opałowe (WO) i wskaźniki emisji CO2  (WE) w roku 2013 do raportowania w ramach Wspólnotowego Systemu Handlu Uprawnieniami do Emisji za rok 2016”; gęstość benzyny przyjęto 0,755kg/l zgodnie z Rozporządzeniem Ministra Środowiska z dnia 27 lutego 2014 r. w sprawie wykazów zawierających informacje i dane o zakresie korzystania ze środowiska oraz o wysokości należnych opłat</t>
  </si>
  <si>
    <r>
      <t>Wskaźnik emisji</t>
    </r>
    <r>
      <rPr>
        <b/>
        <sz val="9"/>
        <color theme="1"/>
        <rFont val="Calibri Light"/>
        <family val="2"/>
        <charset val="238"/>
      </rPr>
      <t xml:space="preserve"> CO</t>
    </r>
    <r>
      <rPr>
        <b/>
        <vertAlign val="subscript"/>
        <sz val="9"/>
        <color theme="1"/>
        <rFont val="Calibri Light"/>
        <family val="2"/>
        <charset val="238"/>
      </rPr>
      <t>2</t>
    </r>
  </si>
  <si>
    <r>
      <t>[Mg</t>
    </r>
    <r>
      <rPr>
        <b/>
        <sz val="9"/>
        <color theme="1"/>
        <rFont val="Calibri Light"/>
        <family val="2"/>
        <charset val="238"/>
      </rPr>
      <t>CO</t>
    </r>
    <r>
      <rPr>
        <b/>
        <vertAlign val="subscript"/>
        <sz val="9"/>
        <color theme="1"/>
        <rFont val="Calibri Light"/>
        <family val="2"/>
        <charset val="238"/>
      </rPr>
      <t>2</t>
    </r>
    <r>
      <rPr>
        <b/>
        <sz val="9"/>
        <color rgb="FF000000"/>
        <rFont val="Calibri Light"/>
        <family val="2"/>
        <charset val="238"/>
      </rPr>
      <t>/GJ]</t>
    </r>
  </si>
  <si>
    <r>
      <t xml:space="preserve">[Mg </t>
    </r>
    <r>
      <rPr>
        <b/>
        <sz val="9"/>
        <color theme="1"/>
        <rFont val="Calibri Light"/>
        <family val="2"/>
        <charset val="238"/>
      </rPr>
      <t>CO</t>
    </r>
    <r>
      <rPr>
        <b/>
        <vertAlign val="subscript"/>
        <sz val="9"/>
        <color theme="1"/>
        <rFont val="Calibri Light"/>
        <family val="2"/>
        <charset val="238"/>
      </rPr>
      <t>2</t>
    </r>
    <r>
      <rPr>
        <b/>
        <sz val="9"/>
        <color rgb="FF000000"/>
        <rFont val="Calibri Light"/>
        <family val="2"/>
        <charset val="238"/>
      </rPr>
      <t>/rok]</t>
    </r>
  </si>
  <si>
    <r>
      <t xml:space="preserve">[Mg </t>
    </r>
    <r>
      <rPr>
        <b/>
        <sz val="10"/>
        <color theme="1"/>
        <rFont val="Calibri Light"/>
        <family val="2"/>
        <charset val="238"/>
      </rPr>
      <t>CO</t>
    </r>
    <r>
      <rPr>
        <b/>
        <vertAlign val="subscript"/>
        <sz val="10"/>
        <color theme="1"/>
        <rFont val="Calibri Light"/>
        <family val="2"/>
        <charset val="238"/>
      </rPr>
      <t>2</t>
    </r>
    <r>
      <rPr>
        <b/>
        <sz val="10"/>
        <color rgb="FF000000"/>
        <rFont val="Calibri Light"/>
        <family val="2"/>
        <charset val="238"/>
      </rPr>
      <t>/rok]</t>
    </r>
  </si>
  <si>
    <t>Przemysł i budynki niekomunalne</t>
  </si>
  <si>
    <t>A. Końcowe zużycie energii</t>
  </si>
  <si>
    <t>Gaz ziemny</t>
  </si>
  <si>
    <t>Węgiel brunatny</t>
  </si>
  <si>
    <t>Węgiel kamienny</t>
  </si>
  <si>
    <t>Inne paliwa kopalne</t>
  </si>
  <si>
    <t>Olej roślinny</t>
  </si>
  <si>
    <t xml:space="preserve">Biopaliwo </t>
  </si>
  <si>
    <t>Inna biomasa</t>
  </si>
  <si>
    <t>Słoneczna cieplna</t>
  </si>
  <si>
    <t>Geotermiczna</t>
  </si>
  <si>
    <t>BUDYNKI, WYPOSAŻENIE/URZĄDZENIA I PRZEMYSŁ:</t>
  </si>
  <si>
    <t>Budynki, wyposażenie/urządzenia komunalne</t>
  </si>
  <si>
    <t>Budynki, wyposażenie/urządzenia usługowe (niekomunalne)</t>
  </si>
  <si>
    <t>Przemysł (z wyjątkiem zakładów objętych systemem handlu uprawnieniami do emisji UE — ETS)</t>
  </si>
  <si>
    <t>Budynki, wyposażenie/urządzenia i przemysł razem</t>
  </si>
  <si>
    <t>Transport razem</t>
  </si>
  <si>
    <t>B. Emisje CO2 lub ekwiwalentu CO2</t>
  </si>
  <si>
    <t>INNE:</t>
  </si>
  <si>
    <t>Gospodarowanie odpadami</t>
  </si>
  <si>
    <t>Gospodarowanie ściekami</t>
  </si>
  <si>
    <t>Odnośne współczynniki emisji CO2 w [t/MWh]</t>
  </si>
  <si>
    <t>Współczynnik emisji CO2 dla energii elektrycznej niewytwarzanej lokalnie [t/MWh]</t>
  </si>
  <si>
    <t>C. Lokalne wytwarzanie energii elektrycznej i odnośne emisje CO2</t>
  </si>
  <si>
    <t>Energia elektryczna wytwarzana lokalnie                                                                  (z wyjątkiem zakładów ETS oraz wszystkich zakładów/jednostek &gt; 20 MW)</t>
  </si>
  <si>
    <t>Energia elektryczna wytwarzana lokalnie [MWh]</t>
  </si>
  <si>
    <t xml:space="preserve">  Nakład nośników energii [MWh]</t>
  </si>
  <si>
    <t>Emisje CO2/ekw. CO2 [t]</t>
  </si>
  <si>
    <t>Odnośne współczynniki emisji CO2 dla wytwarzania energii elektrycznej w [t/MWh]</t>
  </si>
  <si>
    <t>Para</t>
  </si>
  <si>
    <t>Odpady</t>
  </si>
  <si>
    <t>Inne źródła odnawialne</t>
  </si>
  <si>
    <t>Inne</t>
  </si>
  <si>
    <t>Energia wiatru</t>
  </si>
  <si>
    <t>Energia hydroelektryczna</t>
  </si>
  <si>
    <t>Fotowoltaiczna</t>
  </si>
  <si>
    <t>Kogeneracja</t>
  </si>
  <si>
    <r>
      <t xml:space="preserve">Inne
</t>
    </r>
    <r>
      <rPr>
        <b/>
        <i/>
        <sz val="11"/>
        <color indexed="23"/>
        <rFont val="Arial"/>
        <family val="2"/>
        <charset val="238"/>
      </rPr>
      <t>Należy podać: _________________</t>
    </r>
    <r>
      <rPr>
        <b/>
        <i/>
        <sz val="11"/>
        <color indexed="8"/>
        <rFont val="Arial"/>
        <family val="2"/>
        <charset val="238"/>
      </rPr>
      <t xml:space="preserve">  </t>
    </r>
    <r>
      <rPr>
        <b/>
        <sz val="11"/>
        <color indexed="8"/>
        <rFont val="Arial"/>
        <family val="2"/>
        <charset val="238"/>
      </rPr>
      <t xml:space="preserve">                      </t>
    </r>
  </si>
  <si>
    <t>KOŃCOWE ZUŻYCIE ENERGII [MWh] w roku bazowym 2014</t>
  </si>
  <si>
    <t>KOŃCOWE ZUŻYCIE ENERGII [MWh] w prognozowanym roku 2020</t>
  </si>
  <si>
    <t>Emisje CO2 [t]/emisje ekwiwalentu CO2 [t] w roku bazownym 2014</t>
  </si>
  <si>
    <t xml:space="preserve">Transport komercyjny  </t>
  </si>
  <si>
    <t>Emisje CO2 [t]/emisje ekwiwalentu CO2 [t] w prognozowanym roku 2020</t>
  </si>
  <si>
    <t>Założenia:</t>
  </si>
  <si>
    <t>Zużycie ciepła na pow. ankietyzowaną</t>
  </si>
  <si>
    <t>powierzchnia ankietyzowana</t>
  </si>
  <si>
    <t>całkowita pow. mieszkań w gminie</t>
  </si>
  <si>
    <t>Olej opałowy [GJ]</t>
  </si>
  <si>
    <t>Powierzchnia z ankietyzacji [m2]</t>
  </si>
  <si>
    <t>GJ/l</t>
  </si>
  <si>
    <t xml:space="preserve">Paliwo </t>
  </si>
  <si>
    <t>Struktura paliw z ankietyzacji</t>
  </si>
  <si>
    <t>Struktura zużycia paliw grzewczych na terenie gminy</t>
  </si>
  <si>
    <t>Paliwo</t>
  </si>
  <si>
    <t>zużycie ciepła na całkowitą pow. mieszkań w gminie [GJ] (bez pow ogrzewanej gazem i ciepłem z sieci)</t>
  </si>
  <si>
    <t>TRANSPORT KOMERCYJNY AUTOBUSY</t>
  </si>
  <si>
    <t>Transport komercyjny autobusy</t>
  </si>
  <si>
    <t>Kolektory słoneczne na obiektach mieszkalnych</t>
  </si>
  <si>
    <t>Pozycja</t>
  </si>
  <si>
    <t>Źródło</t>
  </si>
  <si>
    <t>Ilość nowowybudowanych instalacji</t>
  </si>
  <si>
    <t>sztuk</t>
  </si>
  <si>
    <t>Założenie</t>
  </si>
  <si>
    <t>Powierzchnia czynna kolektorów w jednej instalacji</t>
  </si>
  <si>
    <t>m2</t>
  </si>
  <si>
    <t>Dzienny uzysk energii</t>
  </si>
  <si>
    <t>MJ/m2</t>
  </si>
  <si>
    <t>Dane branżowe</t>
  </si>
  <si>
    <t>Liczba dni słonecznych</t>
  </si>
  <si>
    <t>dni</t>
  </si>
  <si>
    <t>Roczny uzysk energii z jednej instalacji</t>
  </si>
  <si>
    <t>MJ</t>
  </si>
  <si>
    <t>Łączny roczny uzysk energii</t>
  </si>
  <si>
    <t>Wskaźnik emisji spalania węgla na cele grzewcze</t>
  </si>
  <si>
    <t>Mg CO2/GJ</t>
  </si>
  <si>
    <t>Dane KOBiZE</t>
  </si>
  <si>
    <t>Uniknięta emisja</t>
  </si>
  <si>
    <t>Mg CO2</t>
  </si>
  <si>
    <t>Koszt budowy instalacji kolektorów słonecznych</t>
  </si>
  <si>
    <t>zł/instalcję</t>
  </si>
  <si>
    <t>Łączny koszt inwestycyjny</t>
  </si>
  <si>
    <t>zł</t>
  </si>
  <si>
    <t>Koszt jednostkowy unikniętej emisji</t>
  </si>
  <si>
    <t>zł/Mg CO2</t>
  </si>
  <si>
    <t>Szacunkowa moc jednej instalacji</t>
  </si>
  <si>
    <t>kW</t>
  </si>
  <si>
    <t>Łączna moc instalacji</t>
  </si>
  <si>
    <t>Roczny uzysk energii z 1 MW mocy instalacji</t>
  </si>
  <si>
    <t>Wskaźnik emisji dla energii elektrycznej w sieci</t>
  </si>
  <si>
    <t>Mg CO2/MWh</t>
  </si>
  <si>
    <t>Łączny uzysk energii</t>
  </si>
  <si>
    <t>Koszt inwestycyjny</t>
  </si>
  <si>
    <t>zł/kW</t>
  </si>
  <si>
    <t xml:space="preserve">Montaż instalacji fotowoltaicznych na budynkach mieszkalnych </t>
  </si>
  <si>
    <t>Roczny uzysk energii z 1 kW mocy instalacji</t>
  </si>
  <si>
    <t xml:space="preserve">Łączny uzysk energii </t>
  </si>
  <si>
    <t>KOBIZE</t>
  </si>
  <si>
    <t>Gaz [m3]</t>
  </si>
  <si>
    <t>wartość eneretyczna biomasy (biomasa.org)</t>
  </si>
  <si>
    <t>MJ/kg</t>
  </si>
  <si>
    <t>kg/m3</t>
  </si>
  <si>
    <t>gęstość biomasy (biomasa.org)</t>
  </si>
  <si>
    <t>Biomasa*</t>
  </si>
  <si>
    <t>*zużycie biomasy obliczno na podstawie wskaźników z zadkładki "wskaźniki"</t>
  </si>
  <si>
    <t>Liczba zamontowanych pomp ciepła</t>
  </si>
  <si>
    <t>szt.</t>
  </si>
  <si>
    <t>Powierzchnia budynku dla montowanej pompy ciepła</t>
  </si>
  <si>
    <t>Średnie zapotrzebowanie na ciepło budynku mieszkalnego</t>
  </si>
  <si>
    <t>GJ/m2</t>
  </si>
  <si>
    <t>MWh/m2</t>
  </si>
  <si>
    <t>Uzysk energii z 1 MWh energii elektrycznej</t>
  </si>
  <si>
    <t>Łączny koszt inwestycji</t>
  </si>
  <si>
    <t>zł/instalację</t>
  </si>
  <si>
    <t>Koszt inwestycji</t>
  </si>
  <si>
    <t>Dane branżowe (viessmann.pl)</t>
  </si>
  <si>
    <t>założenia</t>
  </si>
  <si>
    <t>Dane naukowe ( na podst. współczynnika COP)</t>
  </si>
  <si>
    <t>przykładowe dane</t>
  </si>
  <si>
    <t>dane z ankietyzacji</t>
  </si>
  <si>
    <t>Wzrost zużycia energii z OZE</t>
  </si>
  <si>
    <t xml:space="preserve">Łączne zapotrzebowanie na ciepło </t>
  </si>
  <si>
    <t>Ograniczenie niskiej emisji z budynków mieszkalnych - wymiana źródła ciepła</t>
  </si>
  <si>
    <t>Ilość mieszkań na terenie gminy</t>
  </si>
  <si>
    <t>Dane GUS</t>
  </si>
  <si>
    <t>Przeciętna powierzchnia użytkowa</t>
  </si>
  <si>
    <t>Łączna powierzchnia mieszkań</t>
  </si>
  <si>
    <t>Zapotrzebowanie energetyczne budynków - ogrzewanie</t>
  </si>
  <si>
    <t>GJ/rok</t>
  </si>
  <si>
    <t>Wynik inwentaryzacji</t>
  </si>
  <si>
    <t>GJ/m2/rok</t>
  </si>
  <si>
    <t>Ilość obiektów objętych wymianą źródła ciepła</t>
  </si>
  <si>
    <t>Koszt wymiany jednego kotła</t>
  </si>
  <si>
    <t>zł/mieszkanie</t>
  </si>
  <si>
    <t>zapotrzebowanie na energię 2014 [GJ/m2]</t>
  </si>
  <si>
    <t>Transport publiczny</t>
  </si>
  <si>
    <t>b.d.</t>
  </si>
  <si>
    <t>Ogólne zapotrzebowanie na energię w roku 2024 r. [GJ]</t>
  </si>
  <si>
    <t>Modernizacja i budowa energooszczędnego oświetlenia ulicznego (zrealizowano 363 szt. punktów oświetleniowych z założonych 800 szt.)</t>
  </si>
  <si>
    <t>nie zrealizowano</t>
  </si>
  <si>
    <t>Montaż instalacji fotowoltaicznych na budynkach mieszkalnych (zakładano montaż 50 instalacji, zrealizowano 9)</t>
  </si>
  <si>
    <t>Termomodernizacja budynku Szkoły Podstawowej nr 1</t>
  </si>
  <si>
    <t>Poniesione koszty</t>
  </si>
  <si>
    <t>nie zrealziowano</t>
  </si>
  <si>
    <t>Szkoła Podstawowa nr 1 im. Marszałka Józefa Piłsudskiego, Kopernika 18, 87-720, Ciechocinek</t>
  </si>
  <si>
    <t>Szkoła Podstawowa nr 3 im. Polskich Olimpijczyków, Wojska Polskiego 37, 87-720 Ciechocinek</t>
  </si>
  <si>
    <t>Termomodernizacja budynków mieszkalnych wraz z audytami energetycznymi (zrealizowano 20 termomodernizacji)</t>
  </si>
  <si>
    <t>Redukcja emisji czynników określonych w POP</t>
  </si>
  <si>
    <t>CO2</t>
  </si>
  <si>
    <t>B(a)P</t>
  </si>
  <si>
    <t>PM10</t>
  </si>
  <si>
    <t>Całkowity dla terenu gminy</t>
  </si>
  <si>
    <t>Sektor samorząd</t>
  </si>
  <si>
    <t>Sektor społeczeństwo</t>
  </si>
  <si>
    <t>Rok bazowy 2014</t>
  </si>
  <si>
    <t>Poziom emisji dwutlenku węgla w budynkach i przemyśle</t>
  </si>
  <si>
    <t>Poziom zmian</t>
  </si>
  <si>
    <t>Poziom emisji dwutlenku węgla w transporcie</t>
  </si>
  <si>
    <t>Wartości wskaźników rezultatów dla sektora transportu</t>
  </si>
  <si>
    <t>Wskaźnik oceny</t>
  </si>
  <si>
    <t>Przewidywany trend</t>
  </si>
  <si>
    <t>spadek</t>
  </si>
  <si>
    <t>Długość ścieżek rowerowych</t>
  </si>
  <si>
    <t>km</t>
  </si>
  <si>
    <t>wzrost</t>
  </si>
  <si>
    <t>Wartości wskaźników rezultatów dla sektora budynków, wyposażenia i przemysłu</t>
  </si>
  <si>
    <t>Wzrost udziału OZE</t>
  </si>
  <si>
    <t>Budynek Zarządu Uzdrowiska tzw. "Pałacyk Dyrekcji", ul. Kościuszki 10, 87-720 Ciechocinek</t>
  </si>
  <si>
    <t>Termomodernizacja budynku Szpitala Uzdrowiskowego nr 1</t>
  </si>
  <si>
    <t>Termomodernizacja budynku Zarządu Uzdrowiska, tzw. "Pałacyku Dyrekcji"</t>
  </si>
  <si>
    <t>rok 2028 - prognoza</t>
  </si>
  <si>
    <t>L.p.</t>
  </si>
  <si>
    <t>Nazwa punktu poboru</t>
  </si>
  <si>
    <t>Miejscowość</t>
  </si>
  <si>
    <t>Ulica</t>
  </si>
  <si>
    <t>Numer</t>
  </si>
  <si>
    <t>Moc
umowna</t>
  </si>
  <si>
    <t>Grupa
taryfowa</t>
  </si>
  <si>
    <t>Strefa I</t>
  </si>
  <si>
    <t>Strefa II</t>
  </si>
  <si>
    <t>Strefa III</t>
  </si>
  <si>
    <t>1</t>
  </si>
  <si>
    <t>OSiR - Hala Sportowa</t>
  </si>
  <si>
    <t xml:space="preserve">Ciechocinek </t>
  </si>
  <si>
    <t>Lipnowska</t>
  </si>
  <si>
    <t>1323/2</t>
  </si>
  <si>
    <t>Ciechocinek</t>
  </si>
  <si>
    <t>C21</t>
  </si>
  <si>
    <t>2</t>
  </si>
  <si>
    <t>OSiR - Boisko Orlik</t>
  </si>
  <si>
    <t>Mikołaja Kopernika</t>
  </si>
  <si>
    <t>18</t>
  </si>
  <si>
    <t>C11</t>
  </si>
  <si>
    <t>OsiR – Stadion biuro</t>
  </si>
  <si>
    <t>Tężniowa</t>
  </si>
  <si>
    <t>C12a</t>
  </si>
  <si>
    <t>OsiR – Stadion szatnia</t>
  </si>
  <si>
    <t>5</t>
  </si>
  <si>
    <t>OSiR - Szalet</t>
  </si>
  <si>
    <t>Kolejowa</t>
  </si>
  <si>
    <t>dz. 361/7</t>
  </si>
  <si>
    <t>Miejskie Centrum Kultury</t>
  </si>
  <si>
    <t>Żelazna</t>
  </si>
  <si>
    <t>Przedszkole Samorządowe nr 2</t>
  </si>
  <si>
    <t>10</t>
  </si>
  <si>
    <t>Szkoła Podstawowa nr 1</t>
  </si>
  <si>
    <t>Szkoła Podstawowa nr 3</t>
  </si>
  <si>
    <t>37</t>
  </si>
  <si>
    <t>Miejski Ośrodek Pomocy Społecznej</t>
  </si>
  <si>
    <t>14</t>
  </si>
  <si>
    <t>Miejski Ośrodek Pomocy Społecznej - Ośrodek dziennego pobytu</t>
  </si>
  <si>
    <t>Adama Mickiewicza</t>
  </si>
  <si>
    <t>Przepompownia wód deszczowych</t>
  </si>
  <si>
    <t>1675/2</t>
  </si>
  <si>
    <t>Park Zdrojowy Muszla Koncertowa</t>
  </si>
  <si>
    <t>Teatr Letni</t>
  </si>
  <si>
    <t>Kopernika</t>
  </si>
  <si>
    <t>Pawilony handlowe</t>
  </si>
  <si>
    <t>Stolarska</t>
  </si>
  <si>
    <t>dz.455</t>
  </si>
  <si>
    <t>Urząd Miejski - Biura</t>
  </si>
  <si>
    <t>19</t>
  </si>
  <si>
    <t>Klub AA</t>
  </si>
  <si>
    <t>6</t>
  </si>
  <si>
    <t>Urząd Miejski - Obiekt I</t>
  </si>
  <si>
    <t>Szachownica plenerowa</t>
  </si>
  <si>
    <t>Tadeusza Kościuszki</t>
  </si>
  <si>
    <t>Biuro Promocji</t>
  </si>
  <si>
    <t>Zdrojowa</t>
  </si>
  <si>
    <t>2B</t>
  </si>
  <si>
    <t>Fontanna Windsor</t>
  </si>
  <si>
    <t>Armii Krajowej</t>
  </si>
  <si>
    <t>dz.733/2</t>
  </si>
  <si>
    <t>Syrena alarmowa</t>
  </si>
  <si>
    <t>Plac Gdański</t>
  </si>
  <si>
    <t>R</t>
  </si>
  <si>
    <t>31</t>
  </si>
  <si>
    <t>Strażacka</t>
  </si>
  <si>
    <t>Leśna</t>
  </si>
  <si>
    <t>Solna</t>
  </si>
  <si>
    <t>Park Tężniowy - Fontanny</t>
  </si>
  <si>
    <t>Warzelniana</t>
  </si>
  <si>
    <t>dz. 176/12</t>
  </si>
  <si>
    <t>Mickiewicza</t>
  </si>
  <si>
    <t>Budynek dydaktyczny</t>
  </si>
  <si>
    <t>dz. 105/20</t>
  </si>
  <si>
    <t>Korty, herbaciarnia</t>
  </si>
  <si>
    <t>Staszica</t>
  </si>
  <si>
    <t>dz. 108/1</t>
  </si>
  <si>
    <t>Szalet - Park Zdrojowy</t>
  </si>
  <si>
    <t>Kościuszki</t>
  </si>
  <si>
    <t>Szalet - przy fontannie Grzyb</t>
  </si>
  <si>
    <t>dz. 716/4</t>
  </si>
  <si>
    <t>Nieszawska</t>
  </si>
  <si>
    <t>dz. 2367/2</t>
  </si>
  <si>
    <t>Lipowa</t>
  </si>
  <si>
    <t>dz. 950/13</t>
  </si>
  <si>
    <t>Piaskowa</t>
  </si>
  <si>
    <t>dz. 1057/2</t>
  </si>
  <si>
    <t>Szalet Miejski</t>
  </si>
  <si>
    <t>Przepompownia wód opadowych T1</t>
  </si>
  <si>
    <t xml:space="preserve">Żytnia </t>
  </si>
  <si>
    <t>bd</t>
  </si>
  <si>
    <t>Zużycie en.elektr. MWh/r</t>
  </si>
  <si>
    <r>
      <t>Emisja CO</t>
    </r>
    <r>
      <rPr>
        <vertAlign val="subscript"/>
        <sz val="10"/>
        <color theme="0"/>
        <rFont val="Calibri Light"/>
        <family val="2"/>
        <charset val="238"/>
      </rPr>
      <t>2</t>
    </r>
    <r>
      <rPr>
        <sz val="10"/>
        <color theme="0"/>
        <rFont val="Calibri Light"/>
        <family val="2"/>
        <charset val="238"/>
      </rPr>
      <t xml:space="preserve"> z energii elektrycznej [Mg CO</t>
    </r>
    <r>
      <rPr>
        <vertAlign val="subscript"/>
        <sz val="10"/>
        <color theme="0"/>
        <rFont val="Calibri Light"/>
        <family val="2"/>
        <charset val="238"/>
      </rPr>
      <t>2</t>
    </r>
    <r>
      <rPr>
        <sz val="10"/>
        <color theme="0"/>
        <rFont val="Calibri Light"/>
        <family val="2"/>
        <charset val="238"/>
      </rPr>
      <t>]</t>
    </r>
  </si>
  <si>
    <r>
      <t>Emisja CO</t>
    </r>
    <r>
      <rPr>
        <vertAlign val="subscript"/>
        <sz val="10"/>
        <color theme="0"/>
        <rFont val="Calibri Light"/>
        <family val="2"/>
        <charset val="238"/>
      </rPr>
      <t>2</t>
    </r>
    <r>
      <rPr>
        <sz val="10"/>
        <color theme="0"/>
        <rFont val="Calibri Light"/>
        <family val="2"/>
        <charset val="238"/>
      </rPr>
      <t xml:space="preserve"> ze zużycia energii na potrzeby cieplne [Mg CO</t>
    </r>
    <r>
      <rPr>
        <vertAlign val="subscript"/>
        <sz val="10"/>
        <color theme="0"/>
        <rFont val="Calibri Light"/>
        <family val="2"/>
        <charset val="238"/>
      </rPr>
      <t>2</t>
    </r>
    <r>
      <rPr>
        <sz val="10"/>
        <color theme="0"/>
        <rFont val="Calibri Light"/>
        <family val="2"/>
        <charset val="238"/>
      </rPr>
      <t>]</t>
    </r>
  </si>
  <si>
    <t xml:space="preserve">Komunalne Przedsiębiorstwo Użytecznosci Publicznej "Ekociech" sp. z o.o. ul. Wojska Polskiego 33, 87 - 720 Ciechocinek </t>
  </si>
  <si>
    <t xml:space="preserve">Komunalne Przedsiębiorstwo Użytecznosci Publicznej "Ekociech" sp. z o.o. </t>
  </si>
  <si>
    <t>Wojska Polskiego 33</t>
  </si>
  <si>
    <t>Polna 35, 87-720 Ciechocinek</t>
  </si>
  <si>
    <t>Polna 35,</t>
  </si>
  <si>
    <t>Polna 37, 87-720 Ciechocinek</t>
  </si>
  <si>
    <t>Polna 37</t>
  </si>
  <si>
    <t>Żelazna, 87-720 Ciechocinek</t>
  </si>
  <si>
    <t xml:space="preserve">Miejskie Przedsięborstwo Wodociagów i Kanalizacji sp. z o.o. </t>
  </si>
  <si>
    <t>Nieszawska 21</t>
  </si>
  <si>
    <t>Baza ul. Sportowa</t>
  </si>
  <si>
    <t xml:space="preserve">Oczyszczalnia Ścieków ul. Sportowa </t>
  </si>
  <si>
    <t>SUW Siarzewo w Podolu</t>
  </si>
  <si>
    <t>Przepompownia główna ul. Staszcica</t>
  </si>
  <si>
    <t xml:space="preserve">Baza </t>
  </si>
  <si>
    <t xml:space="preserve">Oczyszczalnia Ścieków </t>
  </si>
  <si>
    <t>Przepompownia główna</t>
  </si>
  <si>
    <t>Sportowa</t>
  </si>
  <si>
    <t xml:space="preserve">Sportowa </t>
  </si>
  <si>
    <t>Podole</t>
  </si>
  <si>
    <t>rok 2024</t>
  </si>
  <si>
    <t>Charakterystyka systemu oświetleniowego - prognoza na rok 2028</t>
  </si>
  <si>
    <t>Charakterystyka systemu oświetleniowego - stan na rok 2024</t>
  </si>
  <si>
    <t>Budynki mieszkalne (mieszkania)</t>
  </si>
  <si>
    <t>Użyteczność publiczna (komunalne)</t>
  </si>
  <si>
    <t>Prognoza 2028</t>
  </si>
  <si>
    <t xml:space="preserve">Gospodarstwa domowe </t>
  </si>
  <si>
    <t>KOŃCOWE ZUŻYCIE ENERGII [MWh] w prognozowanym roku 2028</t>
  </si>
  <si>
    <t>Emisje CO2 [t]/emisje ekwiwalentu CO2 [t] w roku 2024</t>
  </si>
  <si>
    <t>Emisje CO2 [t]/emisje ekwiwalentu CO2 [t] w prognozowanym roku 2028</t>
  </si>
  <si>
    <t>KOŃCOWE ZUŻYCIE ENERGII [MWh] w roku 2024</t>
  </si>
  <si>
    <t>Rok 2024</t>
  </si>
  <si>
    <t>Przedszkole Samorządowe nr 1 "Bajka" oraz Żłobek Samorządowy Bajeczka</t>
  </si>
  <si>
    <t>9</t>
  </si>
  <si>
    <t>Widok</t>
  </si>
  <si>
    <t>Powierzchnia m2</t>
  </si>
  <si>
    <t>Kubatura m3</t>
  </si>
  <si>
    <t>Docieplenie 
(obiekt w bardzo dobrym/dobrym/złym standardzie cieplnym)</t>
  </si>
  <si>
    <t>obiekt w złym standardzie cieplnym</t>
  </si>
  <si>
    <t>c.o.</t>
  </si>
  <si>
    <t>1970-1980</t>
  </si>
  <si>
    <t xml:space="preserve">Urząd Miejski w Ciechocinku,                   ul. Kopernika 21, 87 -720 Ciechocinek </t>
  </si>
  <si>
    <t>21</t>
  </si>
  <si>
    <t>Urząd Miejski w Ciechocinku</t>
  </si>
  <si>
    <t>1850-1915</t>
  </si>
  <si>
    <t>c.o. i c.w.u.</t>
  </si>
  <si>
    <t>elektryczne</t>
  </si>
  <si>
    <t>Ośrodek Sportu i Rekreacji w Ciechocinku (zaplecze kortów ul. Staszica)</t>
  </si>
  <si>
    <t xml:space="preserve">Lp. </t>
  </si>
  <si>
    <t>Nazwa i adres obiektu</t>
  </si>
  <si>
    <r>
      <t>Rok budowy</t>
    </r>
    <r>
      <rPr>
        <b/>
        <vertAlign val="superscript"/>
        <sz val="8"/>
        <color rgb="FF000000"/>
        <rFont val="Arial Narrow"/>
        <family val="2"/>
        <charset val="238"/>
      </rPr>
      <t>1</t>
    </r>
  </si>
  <si>
    <r>
      <t>Źródło ciepła (c.o. i c.w.u.)</t>
    </r>
    <r>
      <rPr>
        <b/>
        <vertAlign val="superscript"/>
        <sz val="8"/>
        <color rgb="FF000000"/>
        <rFont val="Arial Narrow"/>
        <family val="2"/>
        <charset val="238"/>
      </rPr>
      <t>2</t>
    </r>
  </si>
  <si>
    <r>
      <t>Zużycie ciepła rocznie (GJ/MWh)</t>
    </r>
    <r>
      <rPr>
        <b/>
        <vertAlign val="superscript"/>
        <sz val="8"/>
        <color rgb="FF000000"/>
        <rFont val="Arial Narrow"/>
        <family val="2"/>
        <charset val="238"/>
      </rPr>
      <t>3</t>
    </r>
  </si>
  <si>
    <t>Zużycie energii elektrycznej rocznie [kWh]</t>
  </si>
  <si>
    <t>Taryfa na energię elektryczną i moc zamówiona</t>
  </si>
  <si>
    <t>Informacje dotyczące dotychczasowych termomodernizacji, panele fotowoltaiczne itp.</t>
  </si>
  <si>
    <t>Informacje dotyczące planowanych termomodernizacji, panele fotowoltaiczne itp.</t>
  </si>
  <si>
    <t>Dodatkowe uwagi</t>
  </si>
  <si>
    <t xml:space="preserve">Urząd Miejski w Ciechocinku,                    ul. Kopernika 18, 87 - 720 Ciechocinek </t>
  </si>
  <si>
    <t>C-11</t>
  </si>
  <si>
    <t>brak</t>
  </si>
  <si>
    <r>
      <t>[1]</t>
    </r>
    <r>
      <rPr>
        <sz val="8"/>
        <color rgb="FF000000"/>
        <rFont val="Arial Narrow"/>
        <family val="2"/>
        <charset val="238"/>
      </rPr>
      <t xml:space="preserve"> W wypadku nieznanej dokładnej daty proszę podać przybliżony przedział, np. lata 1980 – 1985</t>
    </r>
  </si>
  <si>
    <t xml:space="preserve">Urząd Miejski w Ciechocinku,                   ul. Kopernika 19, 87 -720 Ciechocinek </t>
  </si>
  <si>
    <r>
      <t>[2]</t>
    </r>
    <r>
      <rPr>
        <sz val="8"/>
        <color rgb="FF000000"/>
        <rFont val="Arial Narrow"/>
        <family val="2"/>
        <charset val="238"/>
      </rPr>
      <t xml:space="preserve"> Wpisać oba jeśli różne.</t>
    </r>
  </si>
  <si>
    <t xml:space="preserve">Urząd Miejski w Ciechocinku,                                                     ul. Zdrojowa 2b, 87 - 720 Ciechocinek                     </t>
  </si>
  <si>
    <t>C-12a</t>
  </si>
  <si>
    <r>
      <t>[3]</t>
    </r>
    <r>
      <rPr>
        <sz val="8"/>
        <color rgb="FF000000"/>
        <rFont val="Arial Narrow"/>
        <family val="2"/>
        <charset val="238"/>
      </rPr>
      <t xml:space="preserve"> Niepotrzebne skreślić</t>
    </r>
  </si>
  <si>
    <t xml:space="preserve">Miejski Ośrodek Pomocy Społecznej ul. Kopernika 14, 87 - 720 Ciechocinek </t>
  </si>
  <si>
    <t>C-12A, moc umowna 35,0</t>
  </si>
  <si>
    <t>budynek w trakcie remontu elewacji bez ocieplenia</t>
  </si>
  <si>
    <t>Ośrodek Sportu i Rekreacji w Ciechocinku ( Herbaciarnia ul. Staszica)</t>
  </si>
  <si>
    <t xml:space="preserve"> - </t>
  </si>
  <si>
    <t>6a</t>
  </si>
  <si>
    <t>6b</t>
  </si>
  <si>
    <t>Ośrodek Sportu i Rekreacji w Ciechocinku (budynek zaplecza sportowego ORLIK ul. Kopernika)</t>
  </si>
  <si>
    <t>6c</t>
  </si>
  <si>
    <t>Ośrodek Sportu i Rekreacji w Ciechcoinku (świetlica z herbaciarnią ul. Tężniowa)</t>
  </si>
  <si>
    <t>ellektryczne</t>
  </si>
  <si>
    <t>6d</t>
  </si>
  <si>
    <t>Ośrodek Sportu i Rekreacji w Ciechcoinku (budynek kręgielni Park zdrojowy)</t>
  </si>
  <si>
    <t>konstrukcja drewniana</t>
  </si>
  <si>
    <t>6e</t>
  </si>
  <si>
    <t>Budynek AA, ul. Tężniowa 6,                        87 - 720 Ciechocinek</t>
  </si>
  <si>
    <t xml:space="preserve">Teatr Letni, ul. Żelazna 5,                           87 - 720 Ciechocinek </t>
  </si>
  <si>
    <t>C-21</t>
  </si>
  <si>
    <t>Przedszkole Samorządowe nr 1 "Bajka" ul. Widok 9, 87 - 720 Ciechocinek oraz Żłobek Samorządowy Bajeczka</t>
  </si>
  <si>
    <t>1961 (rozbudowa 2021-2022)</t>
  </si>
  <si>
    <t>C-12A/moc zamówiona 40kW</t>
  </si>
  <si>
    <t>panele fotowoltaiczne</t>
  </si>
  <si>
    <t>planowane na rok 2026</t>
  </si>
  <si>
    <t xml:space="preserve">Przedszkole Samorządowe nr 2 im. "Kubusia Puchatka" ul. Wierzbowa 10,                                                                 87 -720 Ciechocinek </t>
  </si>
  <si>
    <t>C-12A</t>
  </si>
  <si>
    <t>nie dotyczy</t>
  </si>
  <si>
    <t xml:space="preserve">Szkoła Postawowa nr 1 im. Marszałka Józefa Piłsudskiego , ul. Kopernika 18, 87 - 720 Ciechocinek </t>
  </si>
  <si>
    <t>brak docieplenia</t>
  </si>
  <si>
    <t xml:space="preserve">Miejska sieć ciepłownicza </t>
  </si>
  <si>
    <t>planowane na rok 2027</t>
  </si>
  <si>
    <t xml:space="preserve">Szkoła Postawowa nr 3 im. Polskich Olimpijczyków , ul. Wojska Polskiego 37, 87 - 720 Ciechocinek </t>
  </si>
  <si>
    <t>1960-1961</t>
  </si>
  <si>
    <t>kotłownia własna</t>
  </si>
  <si>
    <t>40kWh, C-12A</t>
  </si>
  <si>
    <t>12a.</t>
  </si>
  <si>
    <t>co, cwu</t>
  </si>
  <si>
    <t>C-12A,11kw</t>
  </si>
  <si>
    <t>12b.</t>
  </si>
  <si>
    <t>obiekt w dobrym standardzie cieplnym</t>
  </si>
  <si>
    <t>sieć, co</t>
  </si>
  <si>
    <t>C-11,6kw</t>
  </si>
  <si>
    <t>12c.</t>
  </si>
  <si>
    <t xml:space="preserve">Żelazna, 87-720 Ciechocinek </t>
  </si>
  <si>
    <t>własne</t>
  </si>
  <si>
    <t>C-12,6kw</t>
  </si>
  <si>
    <t xml:space="preserve">Miejskie Przedsięborstwo Wodociagów i Kanalizacji sp. z o.o. ul. Nieszawska 21, 87-720 Ciechocinek </t>
  </si>
  <si>
    <t>obiekt w średnim standardzie cieplnym</t>
  </si>
  <si>
    <t>C-12A, G-11</t>
  </si>
  <si>
    <t>13a</t>
  </si>
  <si>
    <t xml:space="preserve">obiekt w średnim standardzie cieplnym </t>
  </si>
  <si>
    <t>B-23</t>
  </si>
  <si>
    <t>13b</t>
  </si>
  <si>
    <t>50 kW</t>
  </si>
  <si>
    <t>13c</t>
  </si>
  <si>
    <t>C-23</t>
  </si>
  <si>
    <t>13d</t>
  </si>
  <si>
    <t>ogrzewanie konwekcyjne</t>
  </si>
  <si>
    <t>C-22</t>
  </si>
  <si>
    <t>CTBS Bema 23a</t>
  </si>
  <si>
    <t>wskaźnik zapotrzebowania energetycznego</t>
  </si>
  <si>
    <t>14a</t>
  </si>
  <si>
    <t>14b</t>
  </si>
  <si>
    <t>14c</t>
  </si>
  <si>
    <t>14d</t>
  </si>
  <si>
    <t>14e</t>
  </si>
  <si>
    <t>14f</t>
  </si>
  <si>
    <t>14g</t>
  </si>
  <si>
    <t>14h</t>
  </si>
  <si>
    <t>14i</t>
  </si>
  <si>
    <t>CTBS Kopernika 15b</t>
  </si>
  <si>
    <t>CTBS Słońska 2c</t>
  </si>
  <si>
    <t>CTBS Słońska 2b</t>
  </si>
  <si>
    <t>CTBS Słońsk Górny 17a</t>
  </si>
  <si>
    <t>CTBS Słońsk Górny 17b</t>
  </si>
  <si>
    <t>CTBS Lipnowska 2</t>
  </si>
  <si>
    <t>CTBS Nieszawska 149a</t>
  </si>
  <si>
    <t>CTBS Nieszawska 149b</t>
  </si>
  <si>
    <t>EKOCIECH Polna 37 (biuro + garaż + warsztat</t>
  </si>
  <si>
    <t xml:space="preserve">EKOCIECH Polna 35 (kotłownia) </t>
  </si>
  <si>
    <t xml:space="preserve">EKOCIECH Polna 16 (magazyn) </t>
  </si>
  <si>
    <t xml:space="preserve">EKOCIECH Wojska Polskiego 33 </t>
  </si>
  <si>
    <t>sieć</t>
  </si>
  <si>
    <t>Zrzeszenie Właścicieli Lokali "Panorama" Widok 24A</t>
  </si>
  <si>
    <t>Strażacka 3</t>
  </si>
  <si>
    <t>Sieciowe
[GJ]</t>
  </si>
  <si>
    <t>Strażacka 5</t>
  </si>
  <si>
    <t>Stolarska 7</t>
  </si>
  <si>
    <t>Zdrojowa 29</t>
  </si>
  <si>
    <t>Zdrojowa 29a</t>
  </si>
  <si>
    <t>Zdrojowa 29b</t>
  </si>
  <si>
    <t>Zdrojowa 29c</t>
  </si>
  <si>
    <t>Zdrojowa 39</t>
  </si>
  <si>
    <t>Osiedlowa 7</t>
  </si>
  <si>
    <t>Osiedlowa 7a</t>
  </si>
  <si>
    <t>Wierzbowa 1a</t>
  </si>
  <si>
    <t>Spółdzielna 1</t>
  </si>
  <si>
    <t>Spółdzielna 3</t>
  </si>
  <si>
    <t>Spółdzielna 5</t>
  </si>
  <si>
    <t>Spółdzielna 7</t>
  </si>
  <si>
    <t>Spółdzielna 11</t>
  </si>
  <si>
    <t>Spółdzielna 12c</t>
  </si>
  <si>
    <t>Spółdzielna 14</t>
  </si>
  <si>
    <t>Spółdzielna 14a</t>
  </si>
  <si>
    <t>Polna 10</t>
  </si>
  <si>
    <t>Polna 12</t>
  </si>
  <si>
    <t>Polna 12a</t>
  </si>
  <si>
    <t>Polna 14</t>
  </si>
  <si>
    <t>Polna 35</t>
  </si>
  <si>
    <t>Polna 8</t>
  </si>
  <si>
    <t>Zużycie paliw przez podmioty gospodarki narodowej (przemysł)</t>
  </si>
  <si>
    <t>Dane Urzędu Marszałkowskiego</t>
  </si>
  <si>
    <t>Gaz [mln m3]</t>
  </si>
  <si>
    <t>olej [Mg]</t>
  </si>
  <si>
    <t>węgiel [Mg]</t>
  </si>
  <si>
    <t>drewno [Mg]</t>
  </si>
  <si>
    <t>GJ/Mg</t>
  </si>
  <si>
    <t>drewno</t>
  </si>
  <si>
    <t>Prognoza na rok 2028</t>
  </si>
  <si>
    <t>benzyna</t>
  </si>
  <si>
    <t>olej</t>
  </si>
  <si>
    <r>
      <t xml:space="preserve">Inne
</t>
    </r>
    <r>
      <rPr>
        <b/>
        <i/>
        <sz val="11"/>
        <color indexed="23"/>
        <rFont val="Arial Narrow"/>
        <family val="2"/>
        <charset val="238"/>
      </rPr>
      <t>Należy podać: _________________</t>
    </r>
    <r>
      <rPr>
        <b/>
        <i/>
        <sz val="11"/>
        <color indexed="8"/>
        <rFont val="Arial Narrow"/>
        <family val="2"/>
        <charset val="238"/>
      </rPr>
      <t xml:space="preserve">  </t>
    </r>
    <r>
      <rPr>
        <b/>
        <sz val="11"/>
        <color indexed="8"/>
        <rFont val="Arial Narrow"/>
        <family val="2"/>
        <charset val="238"/>
      </rPr>
      <t xml:space="preserve">                      </t>
    </r>
  </si>
  <si>
    <t>Działania edukacyjne , w tym organizacja akcji społecznych, w tym spotkań w szkołach, związanych z ograniczeniem emisji, efektywnością energetyczną oraz wykorzystaniem odnawialnych źródeł energii; informacja na stronie internetowej Gminy dot. wdrażania "Planu"; konsultacje społeczne z dziedziny OZE, efektywności energetycznej i ochrony środowiska</t>
  </si>
  <si>
    <r>
      <t>Mg CO</t>
    </r>
    <r>
      <rPr>
        <b/>
        <vertAlign val="sub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/rok</t>
    </r>
  </si>
  <si>
    <t>Gmina Miejska Ciechocinek</t>
  </si>
  <si>
    <t>środki własne i zewnętrzne, w tym: środki unijne i krajowe</t>
  </si>
  <si>
    <t>Liczba nowopowstałych obiektów niskoenergetycznych [szt./rok]</t>
  </si>
  <si>
    <t>Liczba niskoenergetycznych puntków świetlnych [szt./rok]</t>
  </si>
  <si>
    <t>Udzielenie dotacji celowej do wymiany indywidualnych źródeł ciepła w celu ograniczenia niskiej emisji</t>
  </si>
  <si>
    <t xml:space="preserve">Budowa oświetlenia  ul. Bema  - poprawa infrastruktury oświetleniowej o bezpieczeństwa mieszkańców  - poprawa infrastruktury oświetleniowej i bezpieczeństwa mieszkańców </t>
  </si>
  <si>
    <t xml:space="preserve">Budowa oświetlenia  ul. Sportowej  - poprawa infrastruktury oświetleniowej o bezpieczeństwa mieszkańców  - poprawa infrastruktury oświetleniowej i bezpieczeństwa mieszkańców </t>
  </si>
  <si>
    <t xml:space="preserve">Budowa oświetlenia  ul. Wiejskiej, Przedmiejsiej i Nieszawskiej  - poprawa infrastruktury oświetleniowej o bezpieczeństwa mieszkańców  - poprawa infrastruktury oświetleniowej i bezpieczeństwa mieszkańców </t>
  </si>
  <si>
    <t xml:space="preserve">Budowa przedszkola przy ul. Wierzbowej w Ciechocinku </t>
  </si>
  <si>
    <t>Rewitalizacja Parku Zdrojowego III etap (od kortów tenisowych do ul. Solnej) poprawa atrakcyjnosci terenów zielonych</t>
  </si>
  <si>
    <t xml:space="preserve">Remont zabytkowego budynku Miejskiego Ośrodka Pomocy Społecznej </t>
  </si>
  <si>
    <t xml:space="preserve">Powierzchnia obiektu podannego rewitalizacji [m2/rok]; Zużycie energii przed i po przeprowadzeniu inwestycji [MWh/rok]  </t>
  </si>
  <si>
    <t>Przebudowa nawierzchni deptaka spacerowego ul. Armii Krajowej wraz z budową kanalizacji sanitarnej i deszczowej oraz doświetleniem przejść dla pieszych przy ul. Mickiewicza</t>
  </si>
  <si>
    <t>Rewitalizacja Parku Tężniowego (od zegara kwiatowego do pomnika S. Staszica wraz ze zbiornikami przy tężni) uatrakcyjnienie terenów okołotężniowych</t>
  </si>
  <si>
    <t>Budowa nawierzchni ul. Sadowej, Wiśniowej, Zielonej oraz Okrężnej - poprawa infrastruktury drogowej</t>
  </si>
  <si>
    <t>Budowa nawierzchni ul. Sportowej wraz z odwodnieniem, oświetleniem (od końca asfaltu do ul. Wołuszewskiej) - poprawa infrastruktury drogowej i bezpieczeństwa mieszkańców</t>
  </si>
  <si>
    <t xml:space="preserve">Budowa ścieżek rowerowych na terenie Gminy Miejskiej Ciechocinek wraz z opracowaniem projektu </t>
  </si>
  <si>
    <t>Budowa nawierzchni drogi wraz z budową oświetlenia oraz kanalizacji sanitarnej i deszczowej na końcu ul. Kopernika  - poprawa infrastruktury</t>
  </si>
  <si>
    <t>Budowa nawierzchni ul. Widok (od ul. Zdrojowej do ul. Słowackiego) - poprawa infrastruktury drogowej - II etap</t>
  </si>
  <si>
    <t>Budowa nawierzchni wraz z odwodnieniem i oświetleniem drogi gminnej, zlokalizowanej pomiędzy ul. Stawowej i ul. Kopernika - poprawa infrastruktury drogowej</t>
  </si>
  <si>
    <t>Długość wybudowanej nawierzchni dróg [km/rok]; liczba wybudowanych punktów świetlnych [szt/rok]</t>
  </si>
  <si>
    <t>Budowa nawierzchni drogi łaczącej ul. Wołuszewską i ul. Sportową na wysokości drogi do oczyszczalni - popoprawa infrastruktury drogowej</t>
  </si>
  <si>
    <t xml:space="preserve">Długość wybudowanej nawierzchni dróg [km/rok]; </t>
  </si>
  <si>
    <t>Budowa drogi ul. Granicznej na odcinku ul. Zytniej do ul. Bema wraz z odnogą boczną oraz remontem przepustów</t>
  </si>
  <si>
    <t xml:space="preserve">Długość wybudowanej drogi [km/rok]; </t>
  </si>
  <si>
    <t>Budowa nawierzchni ul. Jagiełły - od końca asfaltu do ulicy Wołuszewskiej - poprawa infrastruktury drogowej i bezpieczeństwa mieszkańców</t>
  </si>
  <si>
    <t>Budowa i wdrożenie indywidualnej segregacji odpadów komunalnych dla mieszkańców miasta Ciechocinka oraz zakup pojazdów komunalnych do obsługi systemu</t>
  </si>
  <si>
    <t>Liczba obiektów objętych systemem [szt./rok]</t>
  </si>
  <si>
    <t xml:space="preserve">Budowa nowej oraz modernizacja głównej miejskiej przepompowni ścieków wraz z wyposażeniem w pojazd specjalistyczny WUKO z zapleczem techniczno - garażowym </t>
  </si>
  <si>
    <t>Objętość przepompowanych ścieków [m3/rok]</t>
  </si>
  <si>
    <t xml:space="preserve">Remont zabytkowej Muszli Koncertowej w Parku Zdrojowym </t>
  </si>
  <si>
    <t>zapotrzebowanie na energię 2024 [GJ/m2]</t>
  </si>
  <si>
    <t>Pompa ciepła</t>
  </si>
  <si>
    <t>Kolektory słoneczne (instalacje)</t>
  </si>
  <si>
    <t>OZE</t>
  </si>
  <si>
    <t>Mieszkaniowy ogrzewacz pomieszczeń (kominek, koza, ogrzewacz powietrza na paliwo stałe, trzon kuchenny, piecokuchnia, kuchnia węglowa, piec kaflowy)</t>
  </si>
  <si>
    <t>Kotły na paliwo stałe wg CEEB</t>
  </si>
  <si>
    <t xml:space="preserve">Kocioł na paliwo stałe </t>
  </si>
  <si>
    <t>Liczba źródeł ciepła</t>
  </si>
  <si>
    <t>2028 - Prognoza</t>
  </si>
  <si>
    <t>Ogólne zapotrzebowanie na energię w roku 2028 r. - Prognoza [GJ]</t>
  </si>
  <si>
    <t>zapotrzebowanie na energię 2028 [GJ/m2]</t>
  </si>
  <si>
    <t>&lt;- Projekt założeń</t>
  </si>
  <si>
    <t>&lt;- GUS</t>
  </si>
  <si>
    <t>&lt;- inwentaryzacja 2024</t>
  </si>
  <si>
    <t>ZESTAWIENIE DZIAŁAŃ</t>
  </si>
  <si>
    <t>Strefa uzdrowiskowa</t>
  </si>
  <si>
    <t>Szacowany koszt [zł]</t>
  </si>
  <si>
    <r>
      <t>Mg CO</t>
    </r>
    <r>
      <rPr>
        <b/>
        <vertAlign val="subscript"/>
        <sz val="10"/>
        <color rgb="FF000000"/>
        <rFont val="Calibri Light"/>
        <family val="2"/>
        <charset val="238"/>
      </rPr>
      <t>2</t>
    </r>
    <r>
      <rPr>
        <b/>
        <sz val="10"/>
        <color rgb="FF000000"/>
        <rFont val="Calibri Light"/>
        <family val="2"/>
        <charset val="238"/>
      </rPr>
      <t>/rok</t>
    </r>
  </si>
  <si>
    <t>DZIAŁANIA MIĘDZYSEKTOROWE</t>
  </si>
  <si>
    <t>A, B, C</t>
  </si>
  <si>
    <t>Działania edukacyjne, w tym organizacja akcji społecznych związanych z ograniczeniem emisji, efektywnością energetyczną oraz wykorzystaniem odnawialnych źródeł energii</t>
  </si>
  <si>
    <t>OŚWIETLENIE ULICZNE</t>
  </si>
  <si>
    <t>oświetlenie uliczne</t>
  </si>
  <si>
    <t>UŻYTECZNOŚC PUBLICZNA</t>
  </si>
  <si>
    <t>B</t>
  </si>
  <si>
    <t>Termomodernizacja budynku Szkoły Podstawowej nr 3</t>
  </si>
  <si>
    <t>Montaż odnawialnych źródeł energii na/w budynkach użyteczności publicznej (obiekty: Miejskie Centrum Kultury w Ciechocinku, KPUP „Ekociech” przy ul. Sportowej, budynki szkół</t>
  </si>
  <si>
    <t>A</t>
  </si>
  <si>
    <t>TRANSPORT</t>
  </si>
  <si>
    <t>transport</t>
  </si>
  <si>
    <t>Zmiana organizacji ruchu pojazdów (wyłączenie z ruchu samochodowego ulic w centrum miasta)</t>
  </si>
  <si>
    <t>A, B</t>
  </si>
  <si>
    <t>DZIAŁALNOŚĆ GOSPODARCZA</t>
  </si>
  <si>
    <t>działalności gospodarczej</t>
  </si>
  <si>
    <t>SEKTOR MIESZKANIOWY</t>
  </si>
  <si>
    <t>mieszkaniowy</t>
  </si>
  <si>
    <t>Ograniczenie emisji z budynków mieszkalnych – wymiana kotłów –Program „KAWKA” (obecnie zastąpiony programem „Czyste Powietrze”)</t>
  </si>
  <si>
    <t>BUDYNKI NIEKOMUNALNE</t>
  </si>
  <si>
    <t>budynki niekomunalne</t>
  </si>
  <si>
    <t>Suma</t>
  </si>
  <si>
    <t>% realizacji</t>
  </si>
  <si>
    <t>Kampanie społeczne związane z ekologicznym transportem</t>
  </si>
  <si>
    <t>Termomodernizacja budynku Miejskiego Ośrodka Pomocy Społecznej w Ciechocinku wraz z montażem instalacji fotowoltaicznej</t>
  </si>
  <si>
    <t>17a</t>
  </si>
  <si>
    <t>Przebudowa i modernizacja dróg w obszarze jst</t>
  </si>
  <si>
    <t>2028 – scenariusz niskoemisyjny</t>
  </si>
  <si>
    <t>Zużycie energii finalnej w transporcie</t>
  </si>
  <si>
    <t>Prognoza na rok 2028 (po wdrożeniu działań zaplanowanych w PGN)</t>
  </si>
  <si>
    <t>4a</t>
  </si>
  <si>
    <t>Budowa energooszczędnego oświetlenia ulicznego - łącznie 428 opraw (w tym 382 oprawy LED i 46 opraw soda)</t>
  </si>
  <si>
    <t>Budowa wodnego placu zabaw - II etap</t>
  </si>
  <si>
    <t>Plaża miejska - II etap</t>
  </si>
  <si>
    <t>Rewitalizacja Teatru Letniego</t>
  </si>
  <si>
    <t>Rozbudowa Przedszkola Samorządowego nr 1</t>
  </si>
  <si>
    <t>Budowa letniego basenu miejskiego III etap</t>
  </si>
  <si>
    <t>Budowa dworca z montażem paneli fotowoltaicznych</t>
  </si>
  <si>
    <t>17b</t>
  </si>
  <si>
    <t>Zakup autobusów o napędzie elektrycznym</t>
  </si>
  <si>
    <t>Budowa hali pneumatycznej</t>
  </si>
  <si>
    <t>Budowa Przedszkolnego Boiska Marzeń Kubus Puchatek</t>
  </si>
  <si>
    <t>Prognoza na rok 2028 (bez wprowadzenia PGN)</t>
  </si>
  <si>
    <t>Montaż paneli fotowoltaicznych na 10 budynkach prywatnych</t>
  </si>
  <si>
    <t>Społeczeństwo</t>
  </si>
  <si>
    <t>Wymiana 10 kotłow węglowych na kotły gazowe</t>
  </si>
  <si>
    <t xml:space="preserve">Liczba zamontowanych instalacji PV [szt./rok]  </t>
  </si>
  <si>
    <t xml:space="preserve">Liczba wymienionych kotłów na gazowe [szt./rok]  </t>
  </si>
  <si>
    <t>Wymiana 5 kotłów węglowych na 5 kotłów na biomasę</t>
  </si>
  <si>
    <t xml:space="preserve">Liczba wymienionych kotłów na biomasowe [szt./rok]  </t>
  </si>
  <si>
    <t>Montaż 10 pomp ciepła</t>
  </si>
  <si>
    <t>Termomodernizacja 10 budynków</t>
  </si>
  <si>
    <t>Liczba obiektów podannych termomodernizacji [szt./rok]</t>
  </si>
  <si>
    <t>Prognoza na rok 2028 (po wdrożeniu wszystkich działań)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</si>
  <si>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</si>
  <si>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(wszystkie działania)</t>
  </si>
  <si>
    <t>Emisje CO2 [t]/emisje ekwiwalentu CO2 [t] w roku 2014</t>
  </si>
  <si>
    <t>?</t>
  </si>
  <si>
    <t>PM2,5</t>
  </si>
  <si>
    <t>MEI
2024</t>
  </si>
  <si>
    <t>Liczba wiat [szt./rok]; moc łączna instalacji [MW]</t>
  </si>
  <si>
    <t>Liczba ulic objętych działaniem [szt./rok]</t>
  </si>
  <si>
    <t>Liczba obiektów, w którym zamontowano odnawialne źródła energii [szt./rok]</t>
  </si>
  <si>
    <t>wszystkie działania</t>
  </si>
  <si>
    <t>Wszystkie</t>
  </si>
  <si>
    <t>Działania planowe</t>
  </si>
  <si>
    <t>Działania dodatkowe</t>
  </si>
  <si>
    <r>
      <t>Mg CO</t>
    </r>
    <r>
      <rPr>
        <vertAlign val="subscript"/>
        <sz val="10"/>
        <color rgb="FF000000"/>
        <rFont val="Calibri"/>
        <family val="2"/>
        <charset val="238"/>
        <scheme val="major"/>
      </rPr>
      <t>2</t>
    </r>
    <r>
      <rPr>
        <sz val="10"/>
        <color rgb="FF000000"/>
        <rFont val="Calibri"/>
        <family val="2"/>
        <charset val="238"/>
        <scheme val="major"/>
      </rPr>
      <t>/rok</t>
    </r>
  </si>
  <si>
    <t>Rewitalizacja budynku Liceum Ogólnokształcącego w Ciechocinku - etap II - Remont elewacji południowej i zachodniej budynku.</t>
  </si>
  <si>
    <t>Starosta Aleksandrowski</t>
  </si>
  <si>
    <t>Liczba przeprowadzonych działań [szt./rok]</t>
  </si>
</sst>
</file>

<file path=xl/styles.xml><?xml version="1.0" encoding="utf-8"?>
<styleSheet xmlns="http://schemas.openxmlformats.org/spreadsheetml/2006/main">
  <numFmts count="2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zł&quot;#,##0.00_);[Red]\(&quot;zł&quot;#,##0.00\)"/>
    <numFmt numFmtId="165" formatCode="_(&quot;zł&quot;* #,##0.00_);_(&quot;zł&quot;* \(#,##0.00\);_(&quot;zł&quot;* &quot;-&quot;??_);_(@_)"/>
    <numFmt numFmtId="166" formatCode="&quot; &quot;#,##0.00&quot;    &quot;;&quot;-&quot;#,##0.00&quot;    &quot;;&quot; -&quot;00&quot;    &quot;;&quot; &quot;@&quot; &quot;"/>
    <numFmt numFmtId="167" formatCode="&quot; &quot;#,##0.000&quot;    &quot;;&quot;-&quot;#,##0.000&quot;    &quot;;&quot; -&quot;00.0&quot;    &quot;;&quot; &quot;@&quot; &quot;"/>
    <numFmt numFmtId="168" formatCode="&quot; &quot;#,##0.000&quot;    &quot;;&quot;-&quot;#,##0.000&quot;    &quot;;&quot; -&quot;00&quot;    &quot;;&quot; &quot;@&quot; &quot;"/>
    <numFmt numFmtId="169" formatCode="0.000"/>
    <numFmt numFmtId="170" formatCode="0.000%"/>
    <numFmt numFmtId="171" formatCode="#,##0.0"/>
    <numFmt numFmtId="172" formatCode="&quot; &quot;#,##0.00&quot;    &quot;;&quot;-&quot;#,##0.00&quot;    &quot;;&quot; -&quot;00.0&quot;    &quot;;&quot; &quot;@&quot; &quot;"/>
    <numFmt numFmtId="173" formatCode="#,##0.00\ [$zł-415];[Red]\-#,##0.00\ [$zł-415]"/>
    <numFmt numFmtId="174" formatCode="&quot; &quot;#,##0.00000&quot;    &quot;;&quot;-&quot;#,##0.00000&quot;    &quot;;&quot; -&quot;00.000&quot;    &quot;;&quot; &quot;@&quot; &quot;"/>
    <numFmt numFmtId="175" formatCode="_-* #,##0.00000\ _z_ł_-;\-* #,##0.00000\ _z_ł_-;_-* &quot;-&quot;??\ _z_ł_-;_-@_-"/>
    <numFmt numFmtId="176" formatCode="0.00000"/>
    <numFmt numFmtId="177" formatCode="0.0"/>
    <numFmt numFmtId="178" formatCode="0.0000"/>
    <numFmt numFmtId="179" formatCode="_-* #,##0.0000\ _z_ł_-;\-* #,##0.0000\ _z_ł_-;_-* &quot;-&quot;??\ _z_ł_-;_-@_-"/>
    <numFmt numFmtId="180" formatCode="0.0%"/>
    <numFmt numFmtId="181" formatCode="_-* #,##0.000\ _z_ł_-;\-* #,##0.000\ _z_ł_-;_-* &quot;-&quot;??\ _z_ł_-;_-@_-"/>
    <numFmt numFmtId="182" formatCode="#,##0.00\ &quot;zł&quot;"/>
    <numFmt numFmtId="183" formatCode="0.0000000"/>
  </numFmts>
  <fonts count="17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indexed="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charset val="238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bscript"/>
      <sz val="11"/>
      <color rgb="FF000000"/>
      <name val="Calibri"/>
      <family val="2"/>
      <charset val="238"/>
      <scheme val="minor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8"/>
      <color theme="3"/>
      <name val="Calibri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name val="Calibri"/>
      <family val="2"/>
      <charset val="238"/>
      <scheme val="major"/>
    </font>
    <font>
      <b/>
      <sz val="10"/>
      <name val="Calibri"/>
      <family val="2"/>
      <charset val="238"/>
      <scheme val="major"/>
    </font>
    <font>
      <b/>
      <sz val="11"/>
      <color theme="1"/>
      <name val="Czcionka tekstu podstawowego"/>
      <charset val="238"/>
    </font>
    <font>
      <b/>
      <sz val="10"/>
      <color theme="0"/>
      <name val="Calibri"/>
      <family val="2"/>
      <charset val="238"/>
      <scheme val="major"/>
    </font>
    <font>
      <b/>
      <sz val="11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vertAlign val="subscript"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rgb="FF000000"/>
      <name val="Calibri Light"/>
      <family val="2"/>
      <charset val="238"/>
    </font>
    <font>
      <b/>
      <sz val="10.5"/>
      <color rgb="FF000000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rgb="FF000000"/>
      <name val="Calibri Light"/>
      <family val="2"/>
      <charset val="238"/>
    </font>
    <font>
      <sz val="10"/>
      <color theme="1"/>
      <name val="Calibri"/>
      <family val="2"/>
      <charset val="238"/>
      <scheme val="major"/>
    </font>
    <font>
      <sz val="10"/>
      <color theme="0"/>
      <name val="Calibri"/>
      <family val="2"/>
      <charset val="238"/>
      <scheme val="major"/>
    </font>
    <font>
      <b/>
      <sz val="10"/>
      <color theme="1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b/>
      <sz val="11"/>
      <name val="Calibri"/>
      <family val="2"/>
      <charset val="238"/>
      <scheme val="major"/>
    </font>
    <font>
      <b/>
      <vertAlign val="subscript"/>
      <sz val="10"/>
      <color theme="1"/>
      <name val="Calibri"/>
      <family val="2"/>
      <charset val="238"/>
      <scheme val="major"/>
    </font>
    <font>
      <b/>
      <i/>
      <sz val="10"/>
      <color theme="1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ajor"/>
    </font>
    <font>
      <b/>
      <sz val="11"/>
      <color theme="0"/>
      <name val="Calibri"/>
      <family val="2"/>
      <charset val="238"/>
      <scheme val="major"/>
    </font>
    <font>
      <b/>
      <sz val="10"/>
      <color theme="0"/>
      <name val="Calibri Light"/>
      <family val="2"/>
      <charset val="238"/>
    </font>
    <font>
      <b/>
      <vertAlign val="superscript"/>
      <sz val="10"/>
      <color theme="0"/>
      <name val="Calibri Light"/>
      <family val="2"/>
      <charset val="238"/>
    </font>
    <font>
      <b/>
      <vertAlign val="subscript"/>
      <sz val="10"/>
      <color theme="0"/>
      <name val="Calibri Light"/>
      <family val="2"/>
      <charset val="238"/>
    </font>
    <font>
      <sz val="10"/>
      <color theme="0"/>
      <name val="Calibri Light"/>
      <family val="2"/>
      <charset val="238"/>
    </font>
    <font>
      <b/>
      <sz val="11"/>
      <color theme="0"/>
      <name val="Calibri Light"/>
      <family val="2"/>
      <charset val="238"/>
    </font>
    <font>
      <b/>
      <vertAlign val="superscript"/>
      <sz val="11"/>
      <color theme="0"/>
      <name val="Calibri Light"/>
      <family val="2"/>
      <charset val="238"/>
    </font>
    <font>
      <b/>
      <vertAlign val="subscript"/>
      <sz val="11"/>
      <color theme="0"/>
      <name val="Calibri Light"/>
      <family val="2"/>
      <charset val="238"/>
    </font>
    <font>
      <b/>
      <sz val="12"/>
      <color theme="0"/>
      <name val="Calibri Light"/>
      <family val="2"/>
      <charset val="238"/>
    </font>
    <font>
      <sz val="11"/>
      <color theme="0"/>
      <name val="Calibri"/>
      <family val="2"/>
      <charset val="238"/>
      <scheme val="major"/>
    </font>
    <font>
      <sz val="11"/>
      <name val="Calibri Light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bscript"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b/>
      <sz val="8"/>
      <color rgb="FF000000"/>
      <name val="Calibri Light"/>
      <family val="2"/>
      <charset val="238"/>
    </font>
    <font>
      <b/>
      <sz val="9"/>
      <color rgb="FF000000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b/>
      <vertAlign val="subscript"/>
      <sz val="9"/>
      <color theme="1"/>
      <name val="Calibri Light"/>
      <family val="2"/>
      <charset val="238"/>
    </font>
    <font>
      <sz val="11"/>
      <color theme="0"/>
      <name val="Calibri Light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strike/>
      <sz val="10"/>
      <name val="Arial"/>
      <family val="2"/>
      <charset val="238"/>
    </font>
    <font>
      <i/>
      <sz val="11"/>
      <color indexed="23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Calibri"/>
      <family val="2"/>
    </font>
    <font>
      <b/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i/>
      <sz val="11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0.5"/>
      <color rgb="FF000000"/>
      <name val="Calibri Light"/>
      <family val="2"/>
      <charset val="238"/>
    </font>
    <font>
      <sz val="10.5"/>
      <color theme="1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indexed="8"/>
      <name val="Arial Narrow"/>
      <family val="2"/>
    </font>
    <font>
      <b/>
      <sz val="12"/>
      <color theme="1"/>
      <name val="Czcionka tekstu podstawowego"/>
      <charset val="238"/>
    </font>
    <font>
      <sz val="10"/>
      <color indexed="8"/>
      <name val="Calibri"/>
      <family val="2"/>
      <charset val="238"/>
      <scheme val="major"/>
    </font>
    <font>
      <b/>
      <sz val="10"/>
      <color indexed="8"/>
      <name val="Calibri"/>
      <family val="2"/>
      <charset val="238"/>
      <scheme val="major"/>
    </font>
    <font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bscript"/>
      <sz val="10"/>
      <color theme="0"/>
      <name val="Calibri Light"/>
      <family val="2"/>
      <charset val="238"/>
    </font>
    <font>
      <sz val="11"/>
      <color theme="1"/>
      <name val="Arial Narrow"/>
      <family val="2"/>
      <charset val="238"/>
    </font>
    <font>
      <vertAlign val="superscript"/>
      <sz val="8"/>
      <color rgb="FF00000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vertAlign val="superscript"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1"/>
      <color indexed="10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trike/>
      <sz val="11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2"/>
      <color indexed="9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1"/>
      <color indexed="23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vertAlign val="sub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bscript"/>
      <sz val="10"/>
      <color rgb="FF000000"/>
      <name val="Calibri Light"/>
      <family val="2"/>
      <charset val="238"/>
    </font>
    <font>
      <b/>
      <sz val="10"/>
      <color rgb="FFFF0000"/>
      <name val="Calibri Light"/>
      <family val="2"/>
      <charset val="238"/>
    </font>
    <font>
      <sz val="10"/>
      <color rgb="FFFF0000"/>
      <name val="Calibri Light"/>
      <family val="2"/>
      <charset val="238"/>
    </font>
    <font>
      <sz val="8"/>
      <name val="Czcionka tekstu podstawowego"/>
      <family val="2"/>
      <charset val="238"/>
    </font>
    <font>
      <b/>
      <sz val="10"/>
      <color rgb="FF000000"/>
      <name val="Calibri"/>
      <family val="2"/>
      <charset val="238"/>
      <scheme val="major"/>
    </font>
    <font>
      <vertAlign val="subscript"/>
      <sz val="10"/>
      <color rgb="FF000000"/>
      <name val="Calibri"/>
      <family val="2"/>
      <charset val="238"/>
      <scheme val="major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3" tint="0.79998168889431442"/>
        <bgColor indexed="4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89013336588644"/>
        <bgColor rgb="FFC0C0C0"/>
      </patternFill>
    </fill>
    <fill>
      <patternFill patternType="solid">
        <fgColor rgb="FF80D219"/>
        <bgColor indexed="64"/>
      </patternFill>
    </fill>
    <fill>
      <patternFill patternType="solid">
        <fgColor rgb="FFC9F296"/>
        <bgColor indexed="64"/>
      </patternFill>
    </fill>
  </fills>
  <borders count="2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999999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AAAAAA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A7EA52"/>
      </right>
      <top/>
      <bottom/>
      <diagonal/>
    </border>
    <border>
      <left style="medium">
        <color rgb="FFA7EA5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17" fillId="0" borderId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2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9" fontId="20" fillId="0" borderId="0" applyFont="0" applyFill="0" applyBorder="0" applyAlignment="0" applyProtection="0"/>
    <xf numFmtId="0" fontId="21" fillId="0" borderId="0"/>
    <xf numFmtId="165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8" fillId="0" borderId="0"/>
    <xf numFmtId="166" fontId="28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7" fillId="0" borderId="0">
      <alignment horizontal="center"/>
    </xf>
    <xf numFmtId="0" fontId="37" fillId="0" borderId="0">
      <alignment horizontal="center" textRotation="90"/>
    </xf>
    <xf numFmtId="0" fontId="38" fillId="0" borderId="0"/>
    <xf numFmtId="173" fontId="38" fillId="0" borderId="0"/>
    <xf numFmtId="0" fontId="39" fillId="0" borderId="0" applyNumberFormat="0" applyFill="0" applyBorder="0" applyAlignment="0" applyProtection="0"/>
    <xf numFmtId="0" fontId="40" fillId="0" borderId="69" applyNumberFormat="0" applyFill="0" applyAlignment="0" applyProtection="0"/>
    <xf numFmtId="0" fontId="41" fillId="0" borderId="70" applyNumberFormat="0" applyFill="0" applyAlignment="0" applyProtection="0"/>
    <xf numFmtId="0" fontId="42" fillId="0" borderId="71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44" fillId="22" borderId="0" applyNumberFormat="0" applyBorder="0" applyAlignment="0" applyProtection="0"/>
    <xf numFmtId="0" fontId="45" fillId="23" borderId="0" applyNumberFormat="0" applyBorder="0" applyAlignment="0" applyProtection="0"/>
    <xf numFmtId="0" fontId="46" fillId="24" borderId="72" applyNumberFormat="0" applyAlignment="0" applyProtection="0"/>
    <xf numFmtId="0" fontId="47" fillId="25" borderId="73" applyNumberFormat="0" applyAlignment="0" applyProtection="0"/>
    <xf numFmtId="0" fontId="48" fillId="25" borderId="72" applyNumberFormat="0" applyAlignment="0" applyProtection="0"/>
    <xf numFmtId="0" fontId="49" fillId="0" borderId="74" applyNumberFormat="0" applyFill="0" applyAlignment="0" applyProtection="0"/>
    <xf numFmtId="0" fontId="50" fillId="26" borderId="75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9" fillId="0" borderId="77" applyNumberFormat="0" applyFill="0" applyAlignment="0" applyProtection="0"/>
    <xf numFmtId="0" fontId="53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53" fillId="51" borderId="0" applyNumberFormat="0" applyBorder="0" applyAlignment="0" applyProtection="0"/>
    <xf numFmtId="0" fontId="54" fillId="0" borderId="0"/>
    <xf numFmtId="0" fontId="10" fillId="27" borderId="76" applyNumberFormat="0" applyFont="0" applyAlignment="0" applyProtection="0"/>
    <xf numFmtId="0" fontId="9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65">
    <xf numFmtId="0" fontId="0" fillId="0" borderId="0" xfId="0"/>
    <xf numFmtId="0" fontId="16" fillId="5" borderId="3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18" fillId="6" borderId="6" xfId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2" fontId="19" fillId="10" borderId="20" xfId="13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3" fillId="9" borderId="16" xfId="0" applyFont="1" applyFill="1" applyBorder="1" applyAlignment="1">
      <alignment vertical="center"/>
    </xf>
    <xf numFmtId="0" fontId="22" fillId="9" borderId="17" xfId="0" applyFont="1" applyFill="1" applyBorder="1" applyAlignment="1">
      <alignment vertical="center"/>
    </xf>
    <xf numFmtId="0" fontId="22" fillId="9" borderId="18" xfId="0" applyFont="1" applyFill="1" applyBorder="1" applyAlignment="1">
      <alignment vertical="center"/>
    </xf>
    <xf numFmtId="43" fontId="1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43" fontId="13" fillId="2" borderId="0" xfId="13" applyFont="1" applyFill="1" applyBorder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7" fillId="12" borderId="0" xfId="0" applyFont="1" applyFill="1"/>
    <xf numFmtId="0" fontId="26" fillId="12" borderId="0" xfId="0" applyFont="1" applyFill="1" applyAlignment="1">
      <alignment horizontal="center"/>
    </xf>
    <xf numFmtId="2" fontId="26" fillId="12" borderId="0" xfId="0" applyNumberFormat="1" applyFont="1" applyFill="1"/>
    <xf numFmtId="168" fontId="26" fillId="12" borderId="0" xfId="0" applyNumberFormat="1" applyFont="1" applyFill="1"/>
    <xf numFmtId="2" fontId="26" fillId="12" borderId="0" xfId="0" applyNumberFormat="1" applyFont="1" applyFill="1" applyAlignment="1">
      <alignment horizontal="right"/>
    </xf>
    <xf numFmtId="0" fontId="19" fillId="7" borderId="24" xfId="0" applyFont="1" applyFill="1" applyBorder="1" applyAlignment="1">
      <alignment horizontal="center" vertical="center"/>
    </xf>
    <xf numFmtId="0" fontId="26" fillId="14" borderId="34" xfId="0" applyFont="1" applyFill="1" applyBorder="1" applyAlignment="1">
      <alignment horizontal="center" vertical="center"/>
    </xf>
    <xf numFmtId="0" fontId="26" fillId="14" borderId="34" xfId="0" applyFont="1" applyFill="1" applyBorder="1" applyAlignment="1">
      <alignment horizontal="center" vertical="center" wrapText="1"/>
    </xf>
    <xf numFmtId="0" fontId="26" fillId="14" borderId="35" xfId="0" applyFont="1" applyFill="1" applyBorder="1" applyAlignment="1">
      <alignment horizontal="center" vertical="center" wrapText="1"/>
    </xf>
    <xf numFmtId="166" fontId="27" fillId="16" borderId="38" xfId="13" applyNumberFormat="1" applyFont="1" applyFill="1" applyBorder="1" applyAlignment="1">
      <alignment horizontal="center" vertical="center"/>
    </xf>
    <xf numFmtId="166" fontId="27" fillId="16" borderId="39" xfId="13" applyNumberFormat="1" applyFont="1" applyFill="1" applyBorder="1" applyAlignment="1">
      <alignment horizontal="center" vertical="center"/>
    </xf>
    <xf numFmtId="168" fontId="26" fillId="14" borderId="34" xfId="0" applyNumberFormat="1" applyFont="1" applyFill="1" applyBorder="1" applyAlignment="1">
      <alignment horizontal="center" vertical="center" wrapText="1"/>
    </xf>
    <xf numFmtId="166" fontId="29" fillId="17" borderId="38" xfId="13" applyNumberFormat="1" applyFont="1" applyFill="1" applyBorder="1" applyAlignment="1">
      <alignment horizontal="center" vertical="center"/>
    </xf>
    <xf numFmtId="166" fontId="26" fillId="13" borderId="42" xfId="13" applyNumberFormat="1" applyFont="1" applyFill="1" applyBorder="1" applyAlignment="1">
      <alignment horizontal="center" vertical="center"/>
    </xf>
    <xf numFmtId="167" fontId="26" fillId="15" borderId="42" xfId="13" applyNumberFormat="1" applyFont="1" applyFill="1" applyBorder="1" applyAlignment="1">
      <alignment horizontal="center" vertical="center"/>
    </xf>
    <xf numFmtId="166" fontId="26" fillId="13" borderId="43" xfId="13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9" fillId="7" borderId="25" xfId="0" applyFont="1" applyFill="1" applyBorder="1" applyAlignment="1">
      <alignment horizontal="center" vertical="center" wrapText="1"/>
    </xf>
    <xf numFmtId="3" fontId="26" fillId="10" borderId="27" xfId="13" applyNumberFormat="1" applyFont="1" applyFill="1" applyBorder="1" applyAlignment="1">
      <alignment horizontal="center" vertical="center"/>
    </xf>
    <xf numFmtId="1" fontId="26" fillId="10" borderId="28" xfId="13" applyNumberFormat="1" applyFont="1" applyFill="1" applyBorder="1" applyAlignment="1">
      <alignment horizontal="center" vertical="center" wrapText="1"/>
    </xf>
    <xf numFmtId="1" fontId="26" fillId="10" borderId="29" xfId="13" applyNumberFormat="1" applyFont="1" applyFill="1" applyBorder="1" applyAlignment="1">
      <alignment horizontal="center" vertical="center" wrapText="1"/>
    </xf>
    <xf numFmtId="3" fontId="26" fillId="10" borderId="53" xfId="13" applyNumberFormat="1" applyFont="1" applyFill="1" applyBorder="1" applyAlignment="1">
      <alignment horizontal="center" vertical="center" wrapText="1"/>
    </xf>
    <xf numFmtId="3" fontId="26" fillId="10" borderId="33" xfId="13" applyNumberFormat="1" applyFont="1" applyFill="1" applyBorder="1" applyAlignment="1">
      <alignment horizontal="center" vertical="center"/>
    </xf>
    <xf numFmtId="0" fontId="19" fillId="18" borderId="16" xfId="0" applyFont="1" applyFill="1" applyBorder="1" applyAlignment="1">
      <alignment vertical="center"/>
    </xf>
    <xf numFmtId="0" fontId="13" fillId="18" borderId="17" xfId="0" applyFont="1" applyFill="1" applyBorder="1" applyAlignment="1">
      <alignment vertical="center"/>
    </xf>
    <xf numFmtId="0" fontId="13" fillId="18" borderId="18" xfId="0" applyFont="1" applyFill="1" applyBorder="1" applyAlignment="1">
      <alignment vertical="center"/>
    </xf>
    <xf numFmtId="0" fontId="19" fillId="18" borderId="8" xfId="0" applyFont="1" applyFill="1" applyBorder="1" applyAlignment="1">
      <alignment vertical="center"/>
    </xf>
    <xf numFmtId="0" fontId="13" fillId="18" borderId="9" xfId="0" applyFont="1" applyFill="1" applyBorder="1" applyAlignment="1">
      <alignment vertical="center"/>
    </xf>
    <xf numFmtId="0" fontId="19" fillId="18" borderId="7" xfId="0" applyFont="1" applyFill="1" applyBorder="1" applyAlignment="1">
      <alignment vertical="center"/>
    </xf>
    <xf numFmtId="1" fontId="26" fillId="10" borderId="52" xfId="13" applyNumberFormat="1" applyFont="1" applyFill="1" applyBorder="1" applyAlignment="1">
      <alignment horizontal="center" vertical="center" wrapText="1"/>
    </xf>
    <xf numFmtId="3" fontId="26" fillId="10" borderId="21" xfId="13" applyNumberFormat="1" applyFont="1" applyFill="1" applyBorder="1" applyAlignment="1">
      <alignment horizontal="center" vertical="center"/>
    </xf>
    <xf numFmtId="1" fontId="26" fillId="10" borderId="22" xfId="13" applyNumberFormat="1" applyFont="1" applyFill="1" applyBorder="1" applyAlignment="1">
      <alignment horizontal="center" vertical="center" wrapText="1"/>
    </xf>
    <xf numFmtId="3" fontId="27" fillId="8" borderId="60" xfId="13" applyNumberFormat="1" applyFont="1" applyFill="1" applyBorder="1" applyAlignment="1">
      <alignment horizontal="center" vertical="center" wrapText="1"/>
    </xf>
    <xf numFmtId="171" fontId="27" fillId="2" borderId="54" xfId="13" applyNumberFormat="1" applyFont="1" applyFill="1" applyBorder="1" applyAlignment="1">
      <alignment horizontal="center" vertical="center" wrapText="1"/>
    </xf>
    <xf numFmtId="10" fontId="19" fillId="7" borderId="27" xfId="0" applyNumberFormat="1" applyFont="1" applyFill="1" applyBorder="1" applyAlignment="1">
      <alignment horizontal="center" vertical="center" wrapText="1"/>
    </xf>
    <xf numFmtId="10" fontId="19" fillId="7" borderId="63" xfId="0" applyNumberFormat="1" applyFont="1" applyFill="1" applyBorder="1" applyAlignment="1">
      <alignment horizontal="center" vertical="center" wrapText="1"/>
    </xf>
    <xf numFmtId="10" fontId="19" fillId="7" borderId="63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10" fontId="19" fillId="8" borderId="27" xfId="17" applyNumberFormat="1" applyFont="1" applyFill="1" applyBorder="1" applyAlignment="1">
      <alignment horizontal="center" vertical="center" wrapText="1"/>
    </xf>
    <xf numFmtId="10" fontId="19" fillId="8" borderId="63" xfId="17" applyNumberFormat="1" applyFont="1" applyFill="1" applyBorder="1" applyAlignment="1">
      <alignment horizontal="center" vertical="center" wrapText="1"/>
    </xf>
    <xf numFmtId="10" fontId="19" fillId="8" borderId="53" xfId="17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33" fillId="7" borderId="19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43" fontId="19" fillId="7" borderId="20" xfId="0" applyNumberFormat="1" applyFont="1" applyFill="1" applyBorder="1" applyAlignment="1">
      <alignment horizontal="center" vertical="center"/>
    </xf>
    <xf numFmtId="10" fontId="19" fillId="7" borderId="20" xfId="0" applyNumberFormat="1" applyFont="1" applyFill="1" applyBorder="1" applyAlignment="1">
      <alignment horizontal="center"/>
    </xf>
    <xf numFmtId="10" fontId="13" fillId="8" borderId="28" xfId="17" applyNumberFormat="1" applyFont="1" applyFill="1" applyBorder="1" applyAlignment="1">
      <alignment horizontal="center"/>
    </xf>
    <xf numFmtId="43" fontId="13" fillId="8" borderId="28" xfId="0" applyNumberFormat="1" applyFont="1" applyFill="1" applyBorder="1" applyAlignment="1">
      <alignment horizontal="center"/>
    </xf>
    <xf numFmtId="10" fontId="13" fillId="8" borderId="59" xfId="17" applyNumberFormat="1" applyFont="1" applyFill="1" applyBorder="1" applyAlignment="1">
      <alignment horizontal="center"/>
    </xf>
    <xf numFmtId="10" fontId="13" fillId="8" borderId="60" xfId="17" applyNumberFormat="1" applyFont="1" applyFill="1" applyBorder="1" applyAlignment="1">
      <alignment horizontal="center"/>
    </xf>
    <xf numFmtId="0" fontId="19" fillId="18" borderId="19" xfId="0" applyFont="1" applyFill="1" applyBorder="1" applyAlignment="1">
      <alignment vertical="center"/>
    </xf>
    <xf numFmtId="0" fontId="19" fillId="10" borderId="47" xfId="0" applyFont="1" applyFill="1" applyBorder="1" applyAlignment="1">
      <alignment horizontal="center" vertical="center"/>
    </xf>
    <xf numFmtId="0" fontId="19" fillId="10" borderId="49" xfId="0" applyFont="1" applyFill="1" applyBorder="1" applyAlignment="1">
      <alignment horizontal="center" vertical="center" wrapText="1"/>
    </xf>
    <xf numFmtId="0" fontId="29" fillId="10" borderId="10" xfId="0" applyFont="1" applyFill="1" applyBorder="1" applyAlignment="1">
      <alignment horizontal="center" vertical="center"/>
    </xf>
    <xf numFmtId="0" fontId="29" fillId="11" borderId="46" xfId="0" applyFont="1" applyFill="1" applyBorder="1" applyAlignment="1">
      <alignment horizontal="center" vertical="center"/>
    </xf>
    <xf numFmtId="0" fontId="29" fillId="10" borderId="14" xfId="0" applyFont="1" applyFill="1" applyBorder="1" applyAlignment="1">
      <alignment horizontal="center" vertical="center"/>
    </xf>
    <xf numFmtId="172" fontId="27" fillId="16" borderId="38" xfId="13" applyNumberFormat="1" applyFont="1" applyFill="1" applyBorder="1" applyAlignment="1">
      <alignment horizontal="center" vertical="center"/>
    </xf>
    <xf numFmtId="166" fontId="29" fillId="16" borderId="38" xfId="13" applyNumberFormat="1" applyFont="1" applyFill="1" applyBorder="1" applyAlignment="1">
      <alignment horizontal="center" vertical="center"/>
    </xf>
    <xf numFmtId="166" fontId="29" fillId="8" borderId="30" xfId="13" applyNumberFormat="1" applyFont="1" applyFill="1" applyBorder="1" applyAlignment="1">
      <alignment horizontal="center" vertical="center"/>
    </xf>
    <xf numFmtId="0" fontId="29" fillId="11" borderId="11" xfId="0" applyFont="1" applyFill="1" applyBorder="1" applyAlignment="1">
      <alignment horizontal="center" vertical="center" wrapText="1"/>
    </xf>
    <xf numFmtId="0" fontId="19" fillId="10" borderId="65" xfId="0" applyFont="1" applyFill="1" applyBorder="1" applyAlignment="1">
      <alignment horizontal="center" vertical="center" wrapText="1"/>
    </xf>
    <xf numFmtId="169" fontId="29" fillId="11" borderId="66" xfId="0" applyNumberFormat="1" applyFont="1" applyFill="1" applyBorder="1" applyAlignment="1">
      <alignment horizontal="center" vertical="center"/>
    </xf>
    <xf numFmtId="0" fontId="29" fillId="11" borderId="66" xfId="0" applyFont="1" applyFill="1" applyBorder="1" applyAlignment="1">
      <alignment horizontal="center" vertical="center"/>
    </xf>
    <xf numFmtId="0" fontId="29" fillId="11" borderId="67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vertical="center" wrapText="1"/>
    </xf>
    <xf numFmtId="0" fontId="15" fillId="6" borderId="4" xfId="1" applyFont="1" applyFill="1" applyBorder="1" applyAlignment="1" applyProtection="1">
      <alignment vertical="center" wrapText="1"/>
      <protection locked="0"/>
    </xf>
    <xf numFmtId="0" fontId="35" fillId="18" borderId="19" xfId="0" applyFont="1" applyFill="1" applyBorder="1" applyAlignment="1">
      <alignment horizontal="center" vertical="center"/>
    </xf>
    <xf numFmtId="0" fontId="34" fillId="11" borderId="11" xfId="0" applyFont="1" applyFill="1" applyBorder="1" applyAlignment="1">
      <alignment horizontal="center" vertical="center" wrapText="1"/>
    </xf>
    <xf numFmtId="169" fontId="29" fillId="11" borderId="67" xfId="0" applyNumberFormat="1" applyFont="1" applyFill="1" applyBorder="1" applyAlignment="1">
      <alignment horizontal="center" vertical="center"/>
    </xf>
    <xf numFmtId="0" fontId="34" fillId="11" borderId="15" xfId="0" applyFont="1" applyFill="1" applyBorder="1" applyAlignment="1">
      <alignment horizontal="center" vertical="center" wrapText="1"/>
    </xf>
    <xf numFmtId="169" fontId="13" fillId="8" borderId="28" xfId="13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71" fontId="27" fillId="8" borderId="60" xfId="13" applyNumberFormat="1" applyFont="1" applyFill="1" applyBorder="1" applyAlignment="1">
      <alignment horizontal="center" vertical="center" wrapText="1"/>
    </xf>
    <xf numFmtId="171" fontId="27" fillId="8" borderId="61" xfId="13" applyNumberFormat="1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10" fontId="13" fillId="2" borderId="0" xfId="0" applyNumberFormat="1" applyFont="1" applyFill="1" applyAlignment="1">
      <alignment horizontal="center"/>
    </xf>
    <xf numFmtId="0" fontId="56" fillId="53" borderId="60" xfId="69" applyFont="1" applyFill="1" applyBorder="1" applyAlignment="1">
      <alignment horizontal="center" vertical="center" wrapText="1"/>
    </xf>
    <xf numFmtId="0" fontId="56" fillId="7" borderId="60" xfId="69" applyFont="1" applyFill="1" applyBorder="1" applyAlignment="1">
      <alignment horizontal="center" vertical="center" wrapText="1"/>
    </xf>
    <xf numFmtId="0" fontId="57" fillId="8" borderId="47" xfId="0" applyFont="1" applyFill="1" applyBorder="1" applyAlignment="1">
      <alignment horizontal="center" vertical="center"/>
    </xf>
    <xf numFmtId="0" fontId="57" fillId="20" borderId="48" xfId="0" applyFont="1" applyFill="1" applyBorder="1" applyAlignment="1">
      <alignment horizontal="center" vertical="center"/>
    </xf>
    <xf numFmtId="0" fontId="57" fillId="8" borderId="48" xfId="0" applyFont="1" applyFill="1" applyBorder="1" applyAlignment="1">
      <alignment horizontal="center" vertical="center"/>
    </xf>
    <xf numFmtId="0" fontId="57" fillId="8" borderId="49" xfId="0" applyFont="1" applyFill="1" applyBorder="1" applyAlignment="1">
      <alignment horizontal="center" vertical="center"/>
    </xf>
    <xf numFmtId="0" fontId="57" fillId="8" borderId="10" xfId="0" applyFont="1" applyFill="1" applyBorder="1" applyAlignment="1">
      <alignment horizontal="center" vertical="center"/>
    </xf>
    <xf numFmtId="0" fontId="57" fillId="20" borderId="46" xfId="0" applyFont="1" applyFill="1" applyBorder="1" applyAlignment="1">
      <alignment horizontal="center" vertical="center"/>
    </xf>
    <xf numFmtId="0" fontId="57" fillId="8" borderId="46" xfId="0" applyFont="1" applyFill="1" applyBorder="1" applyAlignment="1">
      <alignment horizontal="center" vertical="center"/>
    </xf>
    <xf numFmtId="0" fontId="57" fillId="8" borderId="11" xfId="0" applyFont="1" applyFill="1" applyBorder="1" applyAlignment="1">
      <alignment horizontal="center" vertical="center"/>
    </xf>
    <xf numFmtId="0" fontId="57" fillId="8" borderId="12" xfId="0" applyFont="1" applyFill="1" applyBorder="1" applyAlignment="1">
      <alignment horizontal="center" vertical="center"/>
    </xf>
    <xf numFmtId="0" fontId="57" fillId="8" borderId="81" xfId="0" applyFont="1" applyFill="1" applyBorder="1" applyAlignment="1">
      <alignment horizontal="center" vertical="center"/>
    </xf>
    <xf numFmtId="0" fontId="57" fillId="20" borderId="81" xfId="0" applyFont="1" applyFill="1" applyBorder="1" applyAlignment="1">
      <alignment horizontal="center" vertical="center"/>
    </xf>
    <xf numFmtId="0" fontId="57" fillId="8" borderId="13" xfId="0" applyFont="1" applyFill="1" applyBorder="1" applyAlignment="1">
      <alignment horizontal="center" vertical="center"/>
    </xf>
    <xf numFmtId="0" fontId="58" fillId="20" borderId="5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" fontId="18" fillId="0" borderId="60" xfId="65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0" fontId="13" fillId="2" borderId="0" xfId="0" applyNumberFormat="1" applyFont="1" applyFill="1" applyAlignment="1">
      <alignment vertical="center"/>
    </xf>
    <xf numFmtId="166" fontId="27" fillId="0" borderId="0" xfId="13" applyNumberFormat="1" applyFont="1" applyFill="1" applyBorder="1" applyAlignment="1">
      <alignment horizontal="center" vertical="center"/>
    </xf>
    <xf numFmtId="167" fontId="27" fillId="0" borderId="0" xfId="13" applyNumberFormat="1" applyFont="1" applyFill="1" applyBorder="1" applyAlignment="1">
      <alignment horizontal="center" vertical="center"/>
    </xf>
    <xf numFmtId="166" fontId="29" fillId="0" borderId="0" xfId="13" applyNumberFormat="1" applyFont="1" applyFill="1" applyBorder="1" applyAlignment="1">
      <alignment horizontal="center" vertical="center"/>
    </xf>
    <xf numFmtId="166" fontId="29" fillId="2" borderId="78" xfId="1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0" fontId="13" fillId="8" borderId="78" xfId="17" applyNumberFormat="1" applyFont="1" applyFill="1" applyBorder="1" applyAlignment="1">
      <alignment horizontal="center"/>
    </xf>
    <xf numFmtId="43" fontId="13" fillId="8" borderId="78" xfId="0" applyNumberFormat="1" applyFont="1" applyFill="1" applyBorder="1" applyAlignment="1">
      <alignment horizontal="center"/>
    </xf>
    <xf numFmtId="174" fontId="27" fillId="16" borderId="38" xfId="13" applyNumberFormat="1" applyFont="1" applyFill="1" applyBorder="1" applyAlignment="1">
      <alignment horizontal="center" vertical="center"/>
    </xf>
    <xf numFmtId="10" fontId="19" fillId="8" borderId="83" xfId="17" applyNumberFormat="1" applyFont="1" applyFill="1" applyBorder="1" applyAlignment="1">
      <alignment horizontal="center" vertical="center" wrapText="1"/>
    </xf>
    <xf numFmtId="10" fontId="13" fillId="8" borderId="84" xfId="17" applyNumberFormat="1" applyFont="1" applyFill="1" applyBorder="1" applyAlignment="1">
      <alignment horizontal="center"/>
    </xf>
    <xf numFmtId="175" fontId="8" fillId="8" borderId="28" xfId="0" applyNumberFormat="1" applyFont="1" applyFill="1" applyBorder="1" applyAlignment="1">
      <alignment horizontal="center"/>
    </xf>
    <xf numFmtId="175" fontId="13" fillId="8" borderId="78" xfId="0" applyNumberFormat="1" applyFont="1" applyFill="1" applyBorder="1" applyAlignment="1">
      <alignment horizontal="center"/>
    </xf>
    <xf numFmtId="175" fontId="8" fillId="8" borderId="78" xfId="0" applyNumberFormat="1" applyFont="1" applyFill="1" applyBorder="1" applyAlignment="1">
      <alignment horizontal="center"/>
    </xf>
    <xf numFmtId="170" fontId="13" fillId="2" borderId="0" xfId="0" applyNumberFormat="1" applyFont="1" applyFill="1" applyAlignment="1">
      <alignment vertical="center"/>
    </xf>
    <xf numFmtId="169" fontId="61" fillId="0" borderId="0" xfId="0" applyNumberFormat="1" applyFont="1"/>
    <xf numFmtId="0" fontId="64" fillId="0" borderId="88" xfId="0" applyFont="1" applyBorder="1" applyAlignment="1">
      <alignment horizontal="center" vertical="center" wrapText="1"/>
    </xf>
    <xf numFmtId="4" fontId="0" fillId="0" borderId="0" xfId="0" applyNumberFormat="1"/>
    <xf numFmtId="0" fontId="69" fillId="0" borderId="0" xfId="0" applyFont="1" applyAlignment="1">
      <alignment horizontal="center" vertical="center"/>
    </xf>
    <xf numFmtId="0" fontId="74" fillId="0" borderId="78" xfId="0" applyFont="1" applyBorder="1" applyAlignment="1">
      <alignment horizontal="center" vertical="center" wrapText="1"/>
    </xf>
    <xf numFmtId="2" fontId="74" fillId="0" borderId="78" xfId="0" applyNumberFormat="1" applyFont="1" applyBorder="1" applyAlignment="1">
      <alignment horizontal="center" vertical="center" wrapText="1"/>
    </xf>
    <xf numFmtId="2" fontId="66" fillId="0" borderId="78" xfId="0" applyNumberFormat="1" applyFont="1" applyBorder="1" applyAlignment="1">
      <alignment horizontal="center" vertical="center" wrapText="1"/>
    </xf>
    <xf numFmtId="2" fontId="66" fillId="0" borderId="78" xfId="0" applyNumberFormat="1" applyFont="1" applyBorder="1" applyAlignment="1">
      <alignment horizontal="center" vertical="center"/>
    </xf>
    <xf numFmtId="0" fontId="69" fillId="0" borderId="90" xfId="0" applyFont="1" applyBorder="1" applyAlignment="1">
      <alignment horizontal="center" vertical="center" wrapText="1"/>
    </xf>
    <xf numFmtId="0" fontId="69" fillId="0" borderId="82" xfId="0" applyFont="1" applyBorder="1" applyAlignment="1">
      <alignment horizontal="center" vertical="center" wrapText="1"/>
    </xf>
    <xf numFmtId="0" fontId="69" fillId="0" borderId="78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2" fontId="69" fillId="0" borderId="78" xfId="0" applyNumberFormat="1" applyFont="1" applyBorder="1" applyAlignment="1">
      <alignment horizontal="center" vertical="center"/>
    </xf>
    <xf numFmtId="0" fontId="63" fillId="0" borderId="82" xfId="0" applyFont="1" applyBorder="1" applyAlignment="1">
      <alignment horizontal="center" vertical="center" wrapText="1"/>
    </xf>
    <xf numFmtId="2" fontId="63" fillId="0" borderId="78" xfId="0" applyNumberFormat="1" applyFont="1" applyBorder="1" applyAlignment="1">
      <alignment horizontal="center" vertical="center"/>
    </xf>
    <xf numFmtId="0" fontId="71" fillId="0" borderId="78" xfId="0" applyFont="1" applyBorder="1" applyAlignment="1">
      <alignment horizontal="center" vertical="center" wrapText="1"/>
    </xf>
    <xf numFmtId="0" fontId="0" fillId="0" borderId="78" xfId="0" applyBorder="1"/>
    <xf numFmtId="2" fontId="72" fillId="0" borderId="78" xfId="0" applyNumberFormat="1" applyFont="1" applyBorder="1" applyAlignment="1">
      <alignment horizontal="center" vertical="center"/>
    </xf>
    <xf numFmtId="0" fontId="71" fillId="0" borderId="78" xfId="0" applyFont="1" applyBorder="1" applyAlignment="1">
      <alignment horizontal="center" vertical="center"/>
    </xf>
    <xf numFmtId="2" fontId="60" fillId="2" borderId="78" xfId="70" applyNumberFormat="1" applyFont="1" applyFill="1" applyBorder="1" applyAlignment="1">
      <alignment horizontal="center" vertical="center"/>
    </xf>
    <xf numFmtId="2" fontId="59" fillId="2" borderId="78" xfId="70" applyNumberFormat="1" applyFont="1" applyFill="1" applyBorder="1" applyAlignment="1">
      <alignment horizontal="center" vertical="center"/>
    </xf>
    <xf numFmtId="0" fontId="66" fillId="0" borderId="78" xfId="0" applyFont="1" applyBorder="1" applyAlignment="1">
      <alignment horizontal="center" vertical="center" wrapText="1"/>
    </xf>
    <xf numFmtId="0" fontId="67" fillId="0" borderId="78" xfId="0" applyFont="1" applyBorder="1" applyAlignment="1">
      <alignment horizontal="center" vertical="center" wrapText="1"/>
    </xf>
    <xf numFmtId="0" fontId="64" fillId="0" borderId="78" xfId="0" applyFont="1" applyBorder="1" applyAlignment="1">
      <alignment horizontal="center" vertical="center" wrapText="1"/>
    </xf>
    <xf numFmtId="0" fontId="68" fillId="0" borderId="78" xfId="0" applyFont="1" applyBorder="1" applyAlignment="1">
      <alignment horizontal="center" vertical="center" wrapText="1"/>
    </xf>
    <xf numFmtId="165" fontId="66" fillId="0" borderId="78" xfId="0" applyNumberFormat="1" applyFont="1" applyBorder="1" applyAlignment="1">
      <alignment horizontal="center" vertical="center"/>
    </xf>
    <xf numFmtId="165" fontId="66" fillId="0" borderId="78" xfId="0" applyNumberFormat="1" applyFont="1" applyBorder="1" applyAlignment="1">
      <alignment horizontal="center" vertical="center" wrapText="1"/>
    </xf>
    <xf numFmtId="165" fontId="69" fillId="0" borderId="78" xfId="0" applyNumberFormat="1" applyFont="1" applyBorder="1" applyAlignment="1">
      <alignment horizontal="center" vertical="center" wrapText="1"/>
    </xf>
    <xf numFmtId="0" fontId="69" fillId="0" borderId="0" xfId="0" applyFont="1"/>
    <xf numFmtId="164" fontId="63" fillId="0" borderId="0" xfId="0" applyNumberFormat="1" applyFont="1"/>
    <xf numFmtId="2" fontId="64" fillId="0" borderId="31" xfId="0" applyNumberFormat="1" applyFont="1" applyBorder="1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4" fillId="0" borderId="0" xfId="71"/>
    <xf numFmtId="0" fontId="76" fillId="0" borderId="0" xfId="71" applyFont="1"/>
    <xf numFmtId="43" fontId="75" fillId="0" borderId="0" xfId="71" applyNumberFormat="1" applyFont="1"/>
    <xf numFmtId="0" fontId="4" fillId="0" borderId="0" xfId="71" applyAlignment="1">
      <alignment horizontal="center" vertical="center"/>
    </xf>
    <xf numFmtId="10" fontId="75" fillId="0" borderId="29" xfId="71" applyNumberFormat="1" applyFont="1" applyBorder="1" applyAlignment="1">
      <alignment horizontal="center" vertical="center"/>
    </xf>
    <xf numFmtId="43" fontId="75" fillId="0" borderId="27" xfId="7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7" fillId="18" borderId="7" xfId="71" applyFont="1" applyFill="1" applyBorder="1" applyAlignment="1">
      <alignment horizontal="center" vertical="center"/>
    </xf>
    <xf numFmtId="0" fontId="77" fillId="18" borderId="7" xfId="71" applyFont="1" applyFill="1" applyBorder="1" applyAlignment="1">
      <alignment horizontal="center" vertical="center" wrapText="1"/>
    </xf>
    <xf numFmtId="177" fontId="59" fillId="2" borderId="78" xfId="70" applyNumberFormat="1" applyFont="1" applyFill="1" applyBorder="1" applyAlignment="1">
      <alignment horizontal="center" vertical="center"/>
    </xf>
    <xf numFmtId="169" fontId="59" fillId="2" borderId="78" xfId="70" applyNumberFormat="1" applyFont="1" applyFill="1" applyBorder="1" applyAlignment="1">
      <alignment horizontal="center" vertical="center"/>
    </xf>
    <xf numFmtId="169" fontId="72" fillId="0" borderId="78" xfId="0" applyNumberFormat="1" applyFont="1" applyBorder="1" applyAlignment="1">
      <alignment horizontal="center" vertical="center"/>
    </xf>
    <xf numFmtId="176" fontId="72" fillId="0" borderId="78" xfId="0" applyNumberFormat="1" applyFont="1" applyBorder="1" applyAlignment="1">
      <alignment horizontal="center" vertical="center"/>
    </xf>
    <xf numFmtId="2" fontId="70" fillId="0" borderId="78" xfId="0" applyNumberFormat="1" applyFont="1" applyBorder="1" applyAlignment="1">
      <alignment horizontal="center" vertical="center"/>
    </xf>
    <xf numFmtId="2" fontId="70" fillId="0" borderId="89" xfId="0" applyNumberFormat="1" applyFont="1" applyBorder="1" applyAlignment="1">
      <alignment horizontal="center" vertical="center"/>
    </xf>
    <xf numFmtId="169" fontId="70" fillId="0" borderId="89" xfId="0" applyNumberFormat="1" applyFont="1" applyBorder="1" applyAlignment="1">
      <alignment horizontal="center" vertical="center"/>
    </xf>
    <xf numFmtId="0" fontId="75" fillId="0" borderId="32" xfId="71" applyFont="1" applyBorder="1" applyAlignment="1">
      <alignment horizontal="center" vertical="center"/>
    </xf>
    <xf numFmtId="0" fontId="59" fillId="2" borderId="0" xfId="5" applyFont="1" applyFill="1" applyAlignment="1">
      <alignment horizontal="center"/>
    </xf>
    <xf numFmtId="2" fontId="59" fillId="2" borderId="24" xfId="15" applyNumberFormat="1" applyFont="1" applyFill="1" applyBorder="1" applyAlignment="1">
      <alignment horizontal="center" vertical="center"/>
    </xf>
    <xf numFmtId="2" fontId="59" fillId="2" borderId="25" xfId="15" applyNumberFormat="1" applyFont="1" applyFill="1" applyBorder="1" applyAlignment="1">
      <alignment horizontal="center" vertical="center"/>
    </xf>
    <xf numFmtId="0" fontId="59" fillId="2" borderId="31" xfId="15" applyNumberFormat="1" applyFont="1" applyFill="1" applyBorder="1" applyAlignment="1">
      <alignment horizontal="center" vertical="center"/>
    </xf>
    <xf numFmtId="2" fontId="59" fillId="2" borderId="26" xfId="15" applyNumberFormat="1" applyFont="1" applyFill="1" applyBorder="1" applyAlignment="1">
      <alignment horizontal="center" vertical="center"/>
    </xf>
    <xf numFmtId="0" fontId="75" fillId="2" borderId="0" xfId="71" applyFont="1" applyFill="1"/>
    <xf numFmtId="2" fontId="59" fillId="2" borderId="21" xfId="15" applyNumberFormat="1" applyFont="1" applyFill="1" applyBorder="1" applyAlignment="1">
      <alignment horizontal="center" vertical="center"/>
    </xf>
    <xf numFmtId="2" fontId="59" fillId="2" borderId="22" xfId="15" applyNumberFormat="1" applyFont="1" applyFill="1" applyBorder="1" applyAlignment="1">
      <alignment horizontal="center" vertical="center"/>
    </xf>
    <xf numFmtId="0" fontId="59" fillId="2" borderId="22" xfId="15" applyNumberFormat="1" applyFont="1" applyFill="1" applyBorder="1" applyAlignment="1">
      <alignment horizontal="center" vertical="center"/>
    </xf>
    <xf numFmtId="2" fontId="59" fillId="2" borderId="23" xfId="15" applyNumberFormat="1" applyFont="1" applyFill="1" applyBorder="1" applyAlignment="1">
      <alignment horizontal="center" vertical="center"/>
    </xf>
    <xf numFmtId="0" fontId="59" fillId="2" borderId="0" xfId="71" applyFont="1" applyFill="1" applyAlignment="1">
      <alignment vertical="center"/>
    </xf>
    <xf numFmtId="0" fontId="75" fillId="0" borderId="60" xfId="71" applyFont="1" applyBorder="1" applyAlignment="1">
      <alignment horizontal="center" vertical="center"/>
    </xf>
    <xf numFmtId="0" fontId="75" fillId="0" borderId="61" xfId="71" applyFont="1" applyBorder="1" applyAlignment="1">
      <alignment horizontal="center" vertical="center"/>
    </xf>
    <xf numFmtId="0" fontId="82" fillId="2" borderId="0" xfId="71" applyFont="1" applyFill="1"/>
    <xf numFmtId="0" fontId="75" fillId="0" borderId="31" xfId="71" applyFont="1" applyBorder="1" applyAlignment="1">
      <alignment horizontal="center" vertical="center"/>
    </xf>
    <xf numFmtId="0" fontId="77" fillId="18" borderId="21" xfId="5" applyFont="1" applyFill="1" applyBorder="1" applyAlignment="1">
      <alignment horizontal="center" vertical="center" wrapText="1"/>
    </xf>
    <xf numFmtId="0" fontId="77" fillId="18" borderId="22" xfId="5" applyFont="1" applyFill="1" applyBorder="1" applyAlignment="1">
      <alignment horizontal="center" vertical="center" wrapText="1"/>
    </xf>
    <xf numFmtId="0" fontId="77" fillId="18" borderId="22" xfId="71" applyFont="1" applyFill="1" applyBorder="1" applyAlignment="1">
      <alignment horizontal="center" vertical="center" wrapText="1"/>
    </xf>
    <xf numFmtId="0" fontId="77" fillId="18" borderId="23" xfId="5" applyFont="1" applyFill="1" applyBorder="1" applyAlignment="1">
      <alignment horizontal="center" vertical="center" wrapText="1"/>
    </xf>
    <xf numFmtId="0" fontId="62" fillId="18" borderId="91" xfId="71" applyFont="1" applyFill="1" applyBorder="1" applyAlignment="1">
      <alignment horizontal="center" vertical="center"/>
    </xf>
    <xf numFmtId="0" fontId="62" fillId="18" borderId="56" xfId="71" applyFont="1" applyFill="1" applyBorder="1" applyAlignment="1">
      <alignment horizontal="center"/>
    </xf>
    <xf numFmtId="4" fontId="81" fillId="18" borderId="7" xfId="5" applyNumberFormat="1" applyFont="1" applyFill="1" applyBorder="1" applyAlignment="1">
      <alignment horizontal="center"/>
    </xf>
    <xf numFmtId="4" fontId="81" fillId="18" borderId="18" xfId="5" applyNumberFormat="1" applyFont="1" applyFill="1" applyBorder="1" applyAlignment="1">
      <alignment horizontal="center"/>
    </xf>
    <xf numFmtId="4" fontId="81" fillId="18" borderId="20" xfId="5" applyNumberFormat="1" applyFont="1" applyFill="1" applyBorder="1" applyAlignment="1">
      <alignment horizontal="center"/>
    </xf>
    <xf numFmtId="0" fontId="87" fillId="18" borderId="82" xfId="0" applyFont="1" applyFill="1" applyBorder="1" applyAlignment="1">
      <alignment horizontal="center" vertical="top" wrapText="1"/>
    </xf>
    <xf numFmtId="0" fontId="84" fillId="18" borderId="78" xfId="0" applyFont="1" applyFill="1" applyBorder="1" applyAlignment="1">
      <alignment horizontal="center" vertical="center" wrapText="1"/>
    </xf>
    <xf numFmtId="2" fontId="75" fillId="0" borderId="78" xfId="71" applyNumberFormat="1" applyFont="1" applyBorder="1" applyAlignment="1">
      <alignment horizontal="center" vertical="center" wrapText="1"/>
    </xf>
    <xf numFmtId="0" fontId="75" fillId="0" borderId="78" xfId="71" applyFont="1" applyBorder="1" applyAlignment="1">
      <alignment horizontal="center" vertical="center" wrapText="1"/>
    </xf>
    <xf numFmtId="1" fontId="75" fillId="0" borderId="78" xfId="71" applyNumberFormat="1" applyFont="1" applyBorder="1" applyAlignment="1">
      <alignment horizontal="center" vertical="center" wrapText="1"/>
    </xf>
    <xf numFmtId="0" fontId="18" fillId="2" borderId="0" xfId="71" applyFont="1" applyFill="1" applyAlignment="1">
      <alignment wrapText="1"/>
    </xf>
    <xf numFmtId="1" fontId="75" fillId="0" borderId="0" xfId="71" applyNumberFormat="1" applyFont="1" applyAlignment="1">
      <alignment horizontal="center" vertical="center" wrapText="1"/>
    </xf>
    <xf numFmtId="0" fontId="79" fillId="2" borderId="78" xfId="71" applyFont="1" applyFill="1" applyBorder="1" applyAlignment="1">
      <alignment horizontal="center" vertical="center" wrapText="1"/>
    </xf>
    <xf numFmtId="0" fontId="78" fillId="2" borderId="78" xfId="71" applyFont="1" applyFill="1" applyBorder="1" applyAlignment="1">
      <alignment wrapText="1"/>
    </xf>
    <xf numFmtId="0" fontId="79" fillId="2" borderId="78" xfId="71" applyFont="1" applyFill="1" applyBorder="1" applyAlignment="1">
      <alignment horizontal="center" wrapText="1"/>
    </xf>
    <xf numFmtId="1" fontId="4" fillId="0" borderId="0" xfId="71" applyNumberFormat="1"/>
    <xf numFmtId="0" fontId="88" fillId="18" borderId="78" xfId="0" applyFont="1" applyFill="1" applyBorder="1" applyAlignment="1">
      <alignment horizontal="center" vertical="center"/>
    </xf>
    <xf numFmtId="0" fontId="88" fillId="18" borderId="78" xfId="0" applyFont="1" applyFill="1" applyBorder="1" applyAlignment="1">
      <alignment horizontal="center" vertical="center" wrapText="1"/>
    </xf>
    <xf numFmtId="0" fontId="62" fillId="18" borderId="78" xfId="71" applyFont="1" applyFill="1" applyBorder="1" applyAlignment="1">
      <alignment horizontal="center" vertical="center" wrapText="1"/>
    </xf>
    <xf numFmtId="2" fontId="62" fillId="18" borderId="78" xfId="71" applyNumberFormat="1" applyFont="1" applyFill="1" applyBorder="1" applyAlignment="1">
      <alignment horizontal="center" vertical="center" wrapText="1"/>
    </xf>
    <xf numFmtId="0" fontId="83" fillId="18" borderId="78" xfId="71" applyFont="1" applyFill="1" applyBorder="1" applyAlignment="1">
      <alignment horizontal="center" vertical="center" wrapText="1"/>
    </xf>
    <xf numFmtId="0" fontId="83" fillId="18" borderId="78" xfId="71" applyFont="1" applyFill="1" applyBorder="1" applyAlignment="1">
      <alignment horizontal="center" wrapText="1"/>
    </xf>
    <xf numFmtId="0" fontId="84" fillId="18" borderId="78" xfId="71" applyFont="1" applyFill="1" applyBorder="1" applyAlignment="1">
      <alignment horizontal="center" vertical="center" wrapText="1"/>
    </xf>
    <xf numFmtId="0" fontId="84" fillId="0" borderId="0" xfId="71" applyFont="1" applyAlignment="1">
      <alignment horizontal="center" vertical="center" wrapText="1"/>
    </xf>
    <xf numFmtId="0" fontId="84" fillId="18" borderId="84" xfId="71" applyFont="1" applyFill="1" applyBorder="1" applyAlignment="1">
      <alignment horizontal="center" vertical="center" wrapText="1"/>
    </xf>
    <xf numFmtId="2" fontId="66" fillId="0" borderId="78" xfId="71" applyNumberFormat="1" applyFont="1" applyBorder="1" applyAlignment="1">
      <alignment horizontal="right" vertical="center" wrapText="1"/>
    </xf>
    <xf numFmtId="0" fontId="66" fillId="0" borderId="78" xfId="71" applyFont="1" applyBorder="1" applyAlignment="1">
      <alignment horizontal="center" vertical="center" wrapText="1"/>
    </xf>
    <xf numFmtId="2" fontId="66" fillId="0" borderId="78" xfId="71" applyNumberFormat="1" applyFont="1" applyBorder="1" applyAlignment="1">
      <alignment horizontal="center" vertical="center" wrapText="1"/>
    </xf>
    <xf numFmtId="0" fontId="66" fillId="0" borderId="0" xfId="71" applyFont="1" applyAlignment="1">
      <alignment horizontal="center" vertical="center" wrapText="1"/>
    </xf>
    <xf numFmtId="0" fontId="84" fillId="18" borderId="78" xfId="71" applyFont="1" applyFill="1" applyBorder="1" applyAlignment="1">
      <alignment wrapText="1"/>
    </xf>
    <xf numFmtId="10" fontId="66" fillId="0" borderId="78" xfId="71" applyNumberFormat="1" applyFont="1" applyBorder="1" applyAlignment="1">
      <alignment wrapText="1"/>
    </xf>
    <xf numFmtId="0" fontId="84" fillId="0" borderId="0" xfId="71" applyFont="1" applyAlignment="1">
      <alignment wrapText="1"/>
    </xf>
    <xf numFmtId="10" fontId="66" fillId="0" borderId="0" xfId="71" applyNumberFormat="1" applyFont="1" applyAlignment="1">
      <alignment wrapText="1"/>
    </xf>
    <xf numFmtId="2" fontId="84" fillId="18" borderId="78" xfId="71" applyNumberFormat="1" applyFont="1" applyFill="1" applyBorder="1" applyAlignment="1">
      <alignment vertical="center" wrapText="1"/>
    </xf>
    <xf numFmtId="0" fontId="84" fillId="18" borderId="89" xfId="71" applyFont="1" applyFill="1" applyBorder="1" applyAlignment="1">
      <alignment vertical="center" wrapText="1"/>
    </xf>
    <xf numFmtId="2" fontId="84" fillId="18" borderId="78" xfId="71" applyNumberFormat="1" applyFont="1" applyFill="1" applyBorder="1" applyAlignment="1">
      <alignment horizontal="center" vertical="center" wrapText="1"/>
    </xf>
    <xf numFmtId="2" fontId="84" fillId="0" borderId="0" xfId="71" applyNumberFormat="1" applyFont="1" applyAlignment="1">
      <alignment horizontal="center" vertical="center" wrapText="1"/>
    </xf>
    <xf numFmtId="0" fontId="84" fillId="2" borderId="0" xfId="71" applyFont="1" applyFill="1" applyAlignment="1">
      <alignment wrapText="1"/>
    </xf>
    <xf numFmtId="10" fontId="66" fillId="2" borderId="0" xfId="71" applyNumberFormat="1" applyFont="1" applyFill="1" applyAlignment="1">
      <alignment wrapText="1"/>
    </xf>
    <xf numFmtId="0" fontId="66" fillId="0" borderId="0" xfId="0" applyFont="1"/>
    <xf numFmtId="0" fontId="66" fillId="0" borderId="0" xfId="71" applyFont="1"/>
    <xf numFmtId="0" fontId="66" fillId="0" borderId="0" xfId="71" applyFont="1" applyAlignment="1">
      <alignment horizontal="center" vertical="center"/>
    </xf>
    <xf numFmtId="1" fontId="66" fillId="0" borderId="0" xfId="71" applyNumberFormat="1" applyFont="1"/>
    <xf numFmtId="0" fontId="66" fillId="2" borderId="0" xfId="71" applyFont="1" applyFill="1"/>
    <xf numFmtId="0" fontId="67" fillId="2" borderId="78" xfId="71" applyFont="1" applyFill="1" applyBorder="1" applyAlignment="1">
      <alignment wrapText="1"/>
    </xf>
    <xf numFmtId="0" fontId="66" fillId="0" borderId="0" xfId="0" applyFont="1" applyAlignment="1">
      <alignment horizontal="center" vertical="center"/>
    </xf>
    <xf numFmtId="2" fontId="74" fillId="0" borderId="78" xfId="0" applyNumberFormat="1" applyFont="1" applyBorder="1" applyAlignment="1">
      <alignment horizontal="center" vertical="center"/>
    </xf>
    <xf numFmtId="0" fontId="57" fillId="8" borderId="100" xfId="0" applyFont="1" applyFill="1" applyBorder="1" applyAlignment="1">
      <alignment horizontal="center" vertical="center"/>
    </xf>
    <xf numFmtId="0" fontId="57" fillId="8" borderId="14" xfId="0" applyFont="1" applyFill="1" applyBorder="1" applyAlignment="1">
      <alignment horizontal="center" vertical="center"/>
    </xf>
    <xf numFmtId="0" fontId="57" fillId="20" borderId="101" xfId="0" applyFont="1" applyFill="1" applyBorder="1" applyAlignment="1">
      <alignment horizontal="center" vertical="center"/>
    </xf>
    <xf numFmtId="0" fontId="57" fillId="8" borderId="101" xfId="0" applyFont="1" applyFill="1" applyBorder="1" applyAlignment="1">
      <alignment horizontal="center" vertical="center"/>
    </xf>
    <xf numFmtId="0" fontId="57" fillId="8" borderId="15" xfId="0" applyFont="1" applyFill="1" applyBorder="1" applyAlignment="1">
      <alignment horizontal="center" vertical="center"/>
    </xf>
    <xf numFmtId="0" fontId="69" fillId="0" borderId="0" xfId="0" applyFont="1" applyAlignment="1">
      <alignment wrapText="1"/>
    </xf>
    <xf numFmtId="43" fontId="3" fillId="8" borderId="28" xfId="0" applyNumberFormat="1" applyFont="1" applyFill="1" applyBorder="1" applyAlignment="1">
      <alignment horizontal="center"/>
    </xf>
    <xf numFmtId="43" fontId="3" fillId="8" borderId="78" xfId="0" applyNumberFormat="1" applyFont="1" applyFill="1" applyBorder="1" applyAlignment="1">
      <alignment horizontal="center"/>
    </xf>
    <xf numFmtId="43" fontId="13" fillId="8" borderId="64" xfId="0" applyNumberFormat="1" applyFont="1" applyFill="1" applyBorder="1" applyAlignment="1">
      <alignment horizontal="center"/>
    </xf>
    <xf numFmtId="10" fontId="19" fillId="7" borderId="53" xfId="0" applyNumberFormat="1" applyFont="1" applyFill="1" applyBorder="1" applyAlignment="1">
      <alignment horizontal="center" vertical="center" wrapText="1"/>
    </xf>
    <xf numFmtId="43" fontId="13" fillId="8" borderId="60" xfId="0" applyNumberFormat="1" applyFont="1" applyFill="1" applyBorder="1" applyAlignment="1">
      <alignment horizontal="center"/>
    </xf>
    <xf numFmtId="43" fontId="8" fillId="8" borderId="29" xfId="0" applyNumberFormat="1" applyFont="1" applyFill="1" applyBorder="1" applyAlignment="1">
      <alignment horizontal="center"/>
    </xf>
    <xf numFmtId="43" fontId="3" fillId="8" borderId="60" xfId="0" applyNumberFormat="1" applyFont="1" applyFill="1" applyBorder="1" applyAlignment="1">
      <alignment horizontal="center"/>
    </xf>
    <xf numFmtId="2" fontId="0" fillId="0" borderId="0" xfId="0" applyNumberFormat="1"/>
    <xf numFmtId="2" fontId="5" fillId="8" borderId="60" xfId="0" applyNumberFormat="1" applyFont="1" applyFill="1" applyBorder="1" applyAlignment="1">
      <alignment horizontal="center"/>
    </xf>
    <xf numFmtId="2" fontId="5" fillId="8" borderId="61" xfId="0" applyNumberFormat="1" applyFont="1" applyFill="1" applyBorder="1" applyAlignment="1">
      <alignment horizontal="center"/>
    </xf>
    <xf numFmtId="0" fontId="77" fillId="18" borderId="17" xfId="71" applyFont="1" applyFill="1" applyBorder="1" applyAlignment="1">
      <alignment horizontal="center" vertical="center" wrapText="1"/>
    </xf>
    <xf numFmtId="0" fontId="77" fillId="18" borderId="16" xfId="71" applyFont="1" applyFill="1" applyBorder="1" applyAlignment="1">
      <alignment horizontal="center" vertical="center" wrapText="1"/>
    </xf>
    <xf numFmtId="0" fontId="77" fillId="18" borderId="98" xfId="71" applyFont="1" applyFill="1" applyBorder="1" applyAlignment="1">
      <alignment horizontal="center" vertical="center" wrapText="1"/>
    </xf>
    <xf numFmtId="0" fontId="77" fillId="18" borderId="116" xfId="71" applyFont="1" applyFill="1" applyBorder="1" applyAlignment="1">
      <alignment horizontal="center" vertical="center" wrapText="1"/>
    </xf>
    <xf numFmtId="0" fontId="77" fillId="18" borderId="110" xfId="71" applyFont="1" applyFill="1" applyBorder="1" applyAlignment="1">
      <alignment horizontal="center" vertical="center" wrapText="1"/>
    </xf>
    <xf numFmtId="43" fontId="75" fillId="0" borderId="107" xfId="71" applyNumberFormat="1" applyFont="1" applyBorder="1" applyAlignment="1">
      <alignment horizontal="center" vertical="center"/>
    </xf>
    <xf numFmtId="10" fontId="75" fillId="0" borderId="106" xfId="71" applyNumberFormat="1" applyFont="1" applyBorder="1" applyAlignment="1">
      <alignment horizontal="center" vertical="center"/>
    </xf>
    <xf numFmtId="10" fontId="75" fillId="0" borderId="104" xfId="71" applyNumberFormat="1" applyFont="1" applyBorder="1" applyAlignment="1">
      <alignment horizontal="center" vertical="center"/>
    </xf>
    <xf numFmtId="0" fontId="77" fillId="18" borderId="27" xfId="71" applyFont="1" applyFill="1" applyBorder="1" applyAlignment="1">
      <alignment horizontal="center" vertical="center" wrapText="1"/>
    </xf>
    <xf numFmtId="2" fontId="75" fillId="0" borderId="29" xfId="71" applyNumberFormat="1" applyFont="1" applyBorder="1" applyAlignment="1">
      <alignment horizontal="center" vertical="center"/>
    </xf>
    <xf numFmtId="0" fontId="77" fillId="18" borderId="107" xfId="71" applyFont="1" applyFill="1" applyBorder="1" applyAlignment="1">
      <alignment horizontal="center" vertical="center" wrapText="1"/>
    </xf>
    <xf numFmtId="2" fontId="75" fillId="0" borderId="106" xfId="71" applyNumberFormat="1" applyFont="1" applyBorder="1" applyAlignment="1">
      <alignment horizontal="center" vertical="center"/>
    </xf>
    <xf numFmtId="0" fontId="77" fillId="18" borderId="102" xfId="71" applyFont="1" applyFill="1" applyBorder="1" applyAlignment="1">
      <alignment horizontal="center" vertical="center" wrapText="1"/>
    </xf>
    <xf numFmtId="2" fontId="75" fillId="0" borderId="104" xfId="71" applyNumberFormat="1" applyFont="1" applyBorder="1" applyAlignment="1">
      <alignment horizontal="center" vertical="center"/>
    </xf>
    <xf numFmtId="2" fontId="64" fillId="0" borderId="78" xfId="0" applyNumberFormat="1" applyFont="1" applyBorder="1" applyAlignment="1">
      <alignment horizontal="center" vertical="center" wrapText="1"/>
    </xf>
    <xf numFmtId="2" fontId="66" fillId="0" borderId="0" xfId="0" applyNumberFormat="1" applyFont="1" applyAlignment="1">
      <alignment horizontal="center" vertical="center" wrapText="1"/>
    </xf>
    <xf numFmtId="0" fontId="69" fillId="0" borderId="27" xfId="0" applyFont="1" applyBorder="1" applyAlignment="1">
      <alignment horizontal="center" vertical="center" wrapText="1"/>
    </xf>
    <xf numFmtId="0" fontId="69" fillId="0" borderId="28" xfId="0" applyFont="1" applyBorder="1" applyAlignment="1">
      <alignment horizontal="center" vertical="center" wrapText="1"/>
    </xf>
    <xf numFmtId="0" fontId="69" fillId="0" borderId="52" xfId="0" applyFont="1" applyBorder="1" applyAlignment="1">
      <alignment horizontal="center" vertical="center" wrapText="1"/>
    </xf>
    <xf numFmtId="0" fontId="69" fillId="0" borderId="107" xfId="0" applyFont="1" applyBorder="1" applyAlignment="1">
      <alignment horizontal="center" vertical="center" wrapText="1"/>
    </xf>
    <xf numFmtId="0" fontId="69" fillId="0" borderId="105" xfId="0" applyFont="1" applyBorder="1" applyAlignment="1">
      <alignment horizontal="center" vertical="center" wrapText="1"/>
    </xf>
    <xf numFmtId="0" fontId="69" fillId="0" borderId="111" xfId="0" applyFont="1" applyBorder="1" applyAlignment="1">
      <alignment horizontal="center" vertical="center" wrapText="1"/>
    </xf>
    <xf numFmtId="0" fontId="69" fillId="0" borderId="102" xfId="0" applyFont="1" applyBorder="1" applyAlignment="1">
      <alignment horizontal="center" vertical="center" wrapText="1"/>
    </xf>
    <xf numFmtId="0" fontId="69" fillId="0" borderId="103" xfId="0" applyFont="1" applyBorder="1" applyAlignment="1">
      <alignment horizontal="center" vertical="center" wrapText="1"/>
    </xf>
    <xf numFmtId="0" fontId="69" fillId="0" borderId="114" xfId="0" applyFont="1" applyBorder="1" applyAlignment="1">
      <alignment horizontal="center" vertical="center" wrapText="1"/>
    </xf>
    <xf numFmtId="0" fontId="3" fillId="0" borderId="0" xfId="76"/>
    <xf numFmtId="0" fontId="94" fillId="0" borderId="19" xfId="76" applyFont="1" applyBorder="1" applyAlignment="1">
      <alignment horizontal="center" vertical="center" wrapText="1"/>
    </xf>
    <xf numFmtId="0" fontId="94" fillId="0" borderId="8" xfId="76" applyFont="1" applyBorder="1" applyAlignment="1">
      <alignment horizontal="center" vertical="center" wrapText="1"/>
    </xf>
    <xf numFmtId="0" fontId="97" fillId="0" borderId="56" xfId="76" applyFont="1" applyBorder="1" applyAlignment="1">
      <alignment horizontal="center" vertical="center" wrapText="1"/>
    </xf>
    <xf numFmtId="0" fontId="97" fillId="0" borderId="20" xfId="76" applyFont="1" applyBorder="1" applyAlignment="1">
      <alignment horizontal="center" vertical="center" wrapText="1"/>
    </xf>
    <xf numFmtId="0" fontId="98" fillId="0" borderId="99" xfId="76" applyFont="1" applyBorder="1" applyAlignment="1">
      <alignment horizontal="center" vertical="center"/>
    </xf>
    <xf numFmtId="0" fontId="98" fillId="0" borderId="57" xfId="76" applyFont="1" applyBorder="1" applyAlignment="1">
      <alignment horizontal="center" vertical="center"/>
    </xf>
    <xf numFmtId="0" fontId="3" fillId="0" borderId="20" xfId="76" applyBorder="1" applyAlignment="1">
      <alignment vertical="center"/>
    </xf>
    <xf numFmtId="0" fontId="3" fillId="0" borderId="57" xfId="76" applyBorder="1" applyAlignment="1">
      <alignment vertical="center"/>
    </xf>
    <xf numFmtId="0" fontId="99" fillId="0" borderId="57" xfId="76" applyFont="1" applyBorder="1" applyAlignment="1">
      <alignment horizontal="center" vertical="center" wrapText="1"/>
    </xf>
    <xf numFmtId="0" fontId="3" fillId="0" borderId="57" xfId="76" applyBorder="1" applyAlignment="1">
      <alignment vertical="center" wrapText="1"/>
    </xf>
    <xf numFmtId="2" fontId="94" fillId="52" borderId="57" xfId="76" applyNumberFormat="1" applyFont="1" applyFill="1" applyBorder="1" applyAlignment="1">
      <alignment horizontal="center" vertical="center" wrapText="1"/>
    </xf>
    <xf numFmtId="2" fontId="3" fillId="0" borderId="57" xfId="76" applyNumberFormat="1" applyBorder="1" applyAlignment="1">
      <alignment vertical="center"/>
    </xf>
    <xf numFmtId="2" fontId="94" fillId="52" borderId="9" xfId="76" applyNumberFormat="1" applyFont="1" applyFill="1" applyBorder="1" applyAlignment="1">
      <alignment horizontal="center" vertical="center" wrapText="1"/>
    </xf>
    <xf numFmtId="2" fontId="97" fillId="52" borderId="20" xfId="76" applyNumberFormat="1" applyFont="1" applyFill="1" applyBorder="1" applyAlignment="1">
      <alignment horizontal="center" vertical="center" wrapText="1"/>
    </xf>
    <xf numFmtId="2" fontId="97" fillId="52" borderId="57" xfId="76" applyNumberFormat="1" applyFont="1" applyFill="1" applyBorder="1" applyAlignment="1">
      <alignment horizontal="center" vertical="center" wrapText="1"/>
    </xf>
    <xf numFmtId="2" fontId="94" fillId="52" borderId="20" xfId="76" applyNumberFormat="1" applyFont="1" applyFill="1" applyBorder="1" applyAlignment="1">
      <alignment horizontal="center" vertical="center" wrapText="1"/>
    </xf>
    <xf numFmtId="2" fontId="19" fillId="0" borderId="109" xfId="76" applyNumberFormat="1" applyFont="1" applyBorder="1" applyAlignment="1">
      <alignment horizontal="center" vertical="center"/>
    </xf>
    <xf numFmtId="2" fontId="19" fillId="0" borderId="7" xfId="76" applyNumberFormat="1" applyFont="1" applyBorder="1" applyAlignment="1">
      <alignment horizontal="center" vertical="center"/>
    </xf>
    <xf numFmtId="0" fontId="73" fillId="0" borderId="7" xfId="76" applyFont="1" applyBorder="1" applyAlignment="1">
      <alignment horizontal="center" vertical="center" wrapText="1"/>
    </xf>
    <xf numFmtId="0" fontId="73" fillId="0" borderId="18" xfId="76" applyFont="1" applyBorder="1" applyAlignment="1">
      <alignment horizontal="center" vertical="center" wrapText="1"/>
    </xf>
    <xf numFmtId="0" fontId="102" fillId="0" borderId="20" xfId="76" applyFont="1" applyBorder="1" applyAlignment="1">
      <alignment horizontal="center" vertical="center"/>
    </xf>
    <xf numFmtId="0" fontId="102" fillId="0" borderId="57" xfId="76" applyFont="1" applyBorder="1" applyAlignment="1">
      <alignment horizontal="center" vertical="center"/>
    </xf>
    <xf numFmtId="0" fontId="102" fillId="0" borderId="57" xfId="76" applyFont="1" applyBorder="1" applyAlignment="1">
      <alignment horizontal="center" vertical="center" wrapText="1"/>
    </xf>
    <xf numFmtId="0" fontId="69" fillId="58" borderId="20" xfId="76" applyFont="1" applyFill="1" applyBorder="1" applyAlignment="1">
      <alignment horizontal="center" vertical="center"/>
    </xf>
    <xf numFmtId="10" fontId="69" fillId="0" borderId="57" xfId="76" applyNumberFormat="1" applyFont="1" applyBorder="1" applyAlignment="1">
      <alignment horizontal="center" vertical="center"/>
    </xf>
    <xf numFmtId="0" fontId="66" fillId="0" borderId="57" xfId="76" applyFont="1" applyBorder="1" applyAlignment="1">
      <alignment horizontal="center" vertical="center" wrapText="1"/>
    </xf>
    <xf numFmtId="2" fontId="69" fillId="0" borderId="57" xfId="76" applyNumberFormat="1" applyFont="1" applyBorder="1" applyAlignment="1">
      <alignment horizontal="center" vertical="center"/>
    </xf>
    <xf numFmtId="0" fontId="103" fillId="0" borderId="9" xfId="76" applyFont="1" applyBorder="1" applyAlignment="1">
      <alignment horizontal="center" vertical="center" wrapText="1"/>
    </xf>
    <xf numFmtId="0" fontId="103" fillId="0" borderId="8" xfId="76" applyFont="1" applyBorder="1" applyAlignment="1">
      <alignment horizontal="center" vertical="center" wrapText="1"/>
    </xf>
    <xf numFmtId="0" fontId="103" fillId="0" borderId="19" xfId="76" applyFont="1" applyBorder="1" applyAlignment="1">
      <alignment horizontal="center" vertical="center" wrapText="1"/>
    </xf>
    <xf numFmtId="0" fontId="103" fillId="0" borderId="57" xfId="76" applyFont="1" applyBorder="1" applyAlignment="1">
      <alignment horizontal="center" vertical="center" wrapText="1"/>
    </xf>
    <xf numFmtId="0" fontId="103" fillId="0" borderId="56" xfId="76" applyFont="1" applyBorder="1" applyAlignment="1">
      <alignment horizontal="center" vertical="center" wrapText="1"/>
    </xf>
    <xf numFmtId="0" fontId="103" fillId="0" borderId="20" xfId="76" applyFont="1" applyBorder="1" applyAlignment="1">
      <alignment horizontal="center" vertical="center" wrapText="1"/>
    </xf>
    <xf numFmtId="0" fontId="102" fillId="0" borderId="109" xfId="76" applyFont="1" applyBorder="1" applyAlignment="1">
      <alignment horizontal="center" vertical="center"/>
    </xf>
    <xf numFmtId="0" fontId="69" fillId="57" borderId="57" xfId="76" applyFont="1" applyFill="1" applyBorder="1" applyAlignment="1">
      <alignment horizontal="center" vertical="center"/>
    </xf>
    <xf numFmtId="0" fontId="103" fillId="0" borderId="7" xfId="76" applyFont="1" applyBorder="1" applyAlignment="1">
      <alignment horizontal="center" vertical="center" wrapText="1"/>
    </xf>
    <xf numFmtId="0" fontId="103" fillId="0" borderId="18" xfId="76" applyFont="1" applyBorder="1" applyAlignment="1">
      <alignment horizontal="center" vertical="center" wrapText="1"/>
    </xf>
    <xf numFmtId="0" fontId="93" fillId="58" borderId="20" xfId="76" applyFont="1" applyFill="1" applyBorder="1" applyAlignment="1">
      <alignment horizontal="center" vertical="center"/>
    </xf>
    <xf numFmtId="10" fontId="69" fillId="57" borderId="57" xfId="76" applyNumberFormat="1" applyFont="1" applyFill="1" applyBorder="1" applyAlignment="1">
      <alignment horizontal="center" vertical="center"/>
    </xf>
    <xf numFmtId="0" fontId="66" fillId="57" borderId="57" xfId="76" applyFont="1" applyFill="1" applyBorder="1" applyAlignment="1">
      <alignment horizontal="center" vertical="center" wrapText="1"/>
    </xf>
    <xf numFmtId="0" fontId="103" fillId="0" borderId="80" xfId="76" applyFont="1" applyBorder="1" applyAlignment="1">
      <alignment horizontal="center" vertical="center" wrapText="1"/>
    </xf>
    <xf numFmtId="2" fontId="103" fillId="8" borderId="20" xfId="76" applyNumberFormat="1" applyFont="1" applyFill="1" applyBorder="1" applyAlignment="1">
      <alignment horizontal="center" vertical="center" wrapText="1"/>
    </xf>
    <xf numFmtId="2" fontId="103" fillId="8" borderId="57" xfId="76" applyNumberFormat="1" applyFont="1" applyFill="1" applyBorder="1" applyAlignment="1">
      <alignment horizontal="center" vertical="center" wrapText="1"/>
    </xf>
    <xf numFmtId="169" fontId="103" fillId="8" borderId="57" xfId="76" applyNumberFormat="1" applyFont="1" applyFill="1" applyBorder="1" applyAlignment="1">
      <alignment horizontal="center" vertical="center" wrapText="1"/>
    </xf>
    <xf numFmtId="177" fontId="103" fillId="8" borderId="57" xfId="76" applyNumberFormat="1" applyFont="1" applyFill="1" applyBorder="1" applyAlignment="1">
      <alignment horizontal="center" vertical="center" wrapText="1"/>
    </xf>
    <xf numFmtId="178" fontId="103" fillId="8" borderId="57" xfId="76" applyNumberFormat="1" applyFont="1" applyFill="1" applyBorder="1" applyAlignment="1">
      <alignment horizontal="center" vertical="center" wrapText="1"/>
    </xf>
    <xf numFmtId="2" fontId="103" fillId="8" borderId="7" xfId="76" applyNumberFormat="1" applyFont="1" applyFill="1" applyBorder="1" applyAlignment="1">
      <alignment horizontal="center" vertical="center" wrapText="1"/>
    </xf>
    <xf numFmtId="2" fontId="103" fillId="8" borderId="80" xfId="76" applyNumberFormat="1" applyFont="1" applyFill="1" applyBorder="1" applyAlignment="1">
      <alignment horizontal="center" vertical="center" wrapText="1"/>
    </xf>
    <xf numFmtId="0" fontId="87" fillId="2" borderId="0" xfId="76" applyFont="1" applyFill="1" applyAlignment="1">
      <alignment horizontal="center" vertical="center" wrapText="1"/>
    </xf>
    <xf numFmtId="0" fontId="73" fillId="52" borderId="19" xfId="76" applyFont="1" applyFill="1" applyBorder="1" applyAlignment="1">
      <alignment horizontal="center" vertical="center" wrapText="1"/>
    </xf>
    <xf numFmtId="0" fontId="73" fillId="52" borderId="20" xfId="76" applyFont="1" applyFill="1" applyBorder="1" applyAlignment="1">
      <alignment horizontal="center" vertical="center" wrapText="1"/>
    </xf>
    <xf numFmtId="0" fontId="103" fillId="52" borderId="20" xfId="76" applyFont="1" applyFill="1" applyBorder="1" applyAlignment="1">
      <alignment horizontal="center" vertical="center" wrapText="1"/>
    </xf>
    <xf numFmtId="0" fontId="103" fillId="52" borderId="57" xfId="76" applyFont="1" applyFill="1" applyBorder="1" applyAlignment="1">
      <alignment horizontal="center" vertical="center" wrapText="1"/>
    </xf>
    <xf numFmtId="0" fontId="74" fillId="52" borderId="20" xfId="76" applyFont="1" applyFill="1" applyBorder="1" applyAlignment="1">
      <alignment horizontal="center" vertical="center" wrapText="1"/>
    </xf>
    <xf numFmtId="2" fontId="73" fillId="52" borderId="57" xfId="76" applyNumberFormat="1" applyFont="1" applyFill="1" applyBorder="1" applyAlignment="1">
      <alignment horizontal="center" vertical="center" wrapText="1"/>
    </xf>
    <xf numFmtId="0" fontId="106" fillId="2" borderId="0" xfId="76" applyFont="1" applyFill="1" applyAlignment="1">
      <alignment horizontal="center" vertical="center"/>
    </xf>
    <xf numFmtId="0" fontId="93" fillId="2" borderId="0" xfId="76" applyFont="1" applyFill="1" applyAlignment="1">
      <alignment horizontal="center" vertical="center"/>
    </xf>
    <xf numFmtId="0" fontId="106" fillId="2" borderId="0" xfId="76" applyFont="1" applyFill="1" applyAlignment="1">
      <alignment horizontal="center" vertical="center" wrapText="1"/>
    </xf>
    <xf numFmtId="2" fontId="93" fillId="2" borderId="0" xfId="76" applyNumberFormat="1" applyFont="1" applyFill="1" applyAlignment="1">
      <alignment horizontal="center" vertical="center"/>
    </xf>
    <xf numFmtId="0" fontId="69" fillId="0" borderId="0" xfId="76" applyFont="1" applyAlignment="1">
      <alignment horizontal="center" vertical="center"/>
    </xf>
    <xf numFmtId="0" fontId="69" fillId="0" borderId="0" xfId="76" applyFont="1" applyAlignment="1">
      <alignment horizontal="center" vertical="center" wrapText="1"/>
    </xf>
    <xf numFmtId="0" fontId="63" fillId="0" borderId="109" xfId="76" applyFont="1" applyBorder="1" applyAlignment="1">
      <alignment horizontal="center" vertical="center"/>
    </xf>
    <xf numFmtId="2" fontId="63" fillId="0" borderId="7" xfId="76" applyNumberFormat="1" applyFont="1" applyBorder="1" applyAlignment="1">
      <alignment horizontal="center" vertical="center"/>
    </xf>
    <xf numFmtId="0" fontId="63" fillId="57" borderId="18" xfId="76" applyFont="1" applyFill="1" applyBorder="1" applyAlignment="1">
      <alignment horizontal="center" vertical="center"/>
    </xf>
    <xf numFmtId="0" fontId="63" fillId="57" borderId="57" xfId="76" applyFont="1" applyFill="1" applyBorder="1" applyAlignment="1">
      <alignment horizontal="center" vertical="center"/>
    </xf>
    <xf numFmtId="2" fontId="64" fillId="57" borderId="57" xfId="76" applyNumberFormat="1" applyFont="1" applyFill="1" applyBorder="1" applyAlignment="1">
      <alignment horizontal="center" vertical="center" wrapText="1"/>
    </xf>
    <xf numFmtId="0" fontId="63" fillId="57" borderId="57" xfId="76" applyFont="1" applyFill="1" applyBorder="1" applyAlignment="1">
      <alignment horizontal="center" vertical="center" wrapText="1"/>
    </xf>
    <xf numFmtId="2" fontId="63" fillId="57" borderId="57" xfId="76" applyNumberFormat="1" applyFont="1" applyFill="1" applyBorder="1" applyAlignment="1">
      <alignment horizontal="center" vertical="center"/>
    </xf>
    <xf numFmtId="2" fontId="63" fillId="8" borderId="57" xfId="76" applyNumberFormat="1" applyFont="1" applyFill="1" applyBorder="1" applyAlignment="1">
      <alignment horizontal="center" vertical="center"/>
    </xf>
    <xf numFmtId="178" fontId="103" fillId="8" borderId="7" xfId="76" applyNumberFormat="1" applyFont="1" applyFill="1" applyBorder="1" applyAlignment="1">
      <alignment horizontal="center" vertical="center" wrapText="1"/>
    </xf>
    <xf numFmtId="2" fontId="66" fillId="2" borderId="78" xfId="0" applyNumberFormat="1" applyFont="1" applyFill="1" applyBorder="1" applyAlignment="1">
      <alignment horizontal="center" vertical="center" wrapText="1"/>
    </xf>
    <xf numFmtId="3" fontId="26" fillId="10" borderId="102" xfId="13" applyNumberFormat="1" applyFont="1" applyFill="1" applyBorder="1" applyAlignment="1">
      <alignment horizontal="center" vertical="center" wrapText="1"/>
    </xf>
    <xf numFmtId="3" fontId="55" fillId="52" borderId="117" xfId="0" applyNumberFormat="1" applyFont="1" applyFill="1" applyBorder="1" applyAlignment="1">
      <alignment horizontal="right" vertical="center"/>
    </xf>
    <xf numFmtId="0" fontId="55" fillId="52" borderId="118" xfId="0" applyFont="1" applyFill="1" applyBorder="1" applyAlignment="1">
      <alignment horizontal="right" vertical="center"/>
    </xf>
    <xf numFmtId="0" fontId="69" fillId="0" borderId="29" xfId="0" applyFont="1" applyBorder="1" applyAlignment="1">
      <alignment horizontal="center" vertical="center" wrapText="1"/>
    </xf>
    <xf numFmtId="2" fontId="69" fillId="0" borderId="106" xfId="0" applyNumberFormat="1" applyFont="1" applyBorder="1" applyAlignment="1">
      <alignment horizontal="center" vertical="center" wrapText="1"/>
    </xf>
    <xf numFmtId="2" fontId="69" fillId="0" borderId="104" xfId="0" applyNumberFormat="1" applyFont="1" applyBorder="1" applyAlignment="1">
      <alignment horizontal="center" vertical="center" wrapText="1"/>
    </xf>
    <xf numFmtId="0" fontId="69" fillId="0" borderId="106" xfId="0" applyFont="1" applyBorder="1" applyAlignment="1">
      <alignment horizontal="center" vertical="center" wrapText="1"/>
    </xf>
    <xf numFmtId="0" fontId="19" fillId="10" borderId="24" xfId="0" applyFont="1" applyFill="1" applyBorder="1" applyAlignment="1">
      <alignment vertical="center" wrapText="1"/>
    </xf>
    <xf numFmtId="0" fontId="19" fillId="10" borderId="25" xfId="0" applyFont="1" applyFill="1" applyBorder="1" applyAlignment="1">
      <alignment vertical="center" wrapText="1"/>
    </xf>
    <xf numFmtId="0" fontId="19" fillId="10" borderId="25" xfId="0" applyFont="1" applyFill="1" applyBorder="1" applyAlignment="1">
      <alignment horizontal="center" vertical="center" wrapText="1"/>
    </xf>
    <xf numFmtId="0" fontId="19" fillId="10" borderId="26" xfId="0" applyFont="1" applyFill="1" applyBorder="1" applyAlignment="1">
      <alignment vertical="center" wrapText="1"/>
    </xf>
    <xf numFmtId="1" fontId="13" fillId="2" borderId="105" xfId="0" applyNumberFormat="1" applyFont="1" applyFill="1" applyBorder="1" applyAlignment="1">
      <alignment horizontal="center" vertical="center"/>
    </xf>
    <xf numFmtId="2" fontId="13" fillId="2" borderId="105" xfId="0" applyNumberFormat="1" applyFont="1" applyFill="1" applyBorder="1" applyAlignment="1">
      <alignment horizontal="center" vertical="center"/>
    </xf>
    <xf numFmtId="2" fontId="19" fillId="8" borderId="27" xfId="0" applyNumberFormat="1" applyFont="1" applyFill="1" applyBorder="1" applyAlignment="1">
      <alignment horizontal="center" vertical="center"/>
    </xf>
    <xf numFmtId="1" fontId="13" fillId="2" borderId="28" xfId="0" applyNumberFormat="1" applyFont="1" applyFill="1" applyBorder="1" applyAlignment="1">
      <alignment horizontal="center" vertical="center"/>
    </xf>
    <xf numFmtId="2" fontId="13" fillId="2" borderId="28" xfId="0" applyNumberFormat="1" applyFont="1" applyFill="1" applyBorder="1" applyAlignment="1">
      <alignment horizontal="center" vertical="center"/>
    </xf>
    <xf numFmtId="2" fontId="13" fillId="8" borderId="29" xfId="13" applyNumberFormat="1" applyFont="1" applyFill="1" applyBorder="1" applyAlignment="1">
      <alignment horizontal="center" vertical="center"/>
    </xf>
    <xf numFmtId="2" fontId="19" fillId="8" borderId="107" xfId="0" applyNumberFormat="1" applyFont="1" applyFill="1" applyBorder="1" applyAlignment="1">
      <alignment horizontal="center" vertical="center"/>
    </xf>
    <xf numFmtId="2" fontId="13" fillId="8" borderId="106" xfId="13" applyNumberFormat="1" applyFont="1" applyFill="1" applyBorder="1" applyAlignment="1">
      <alignment horizontal="center" vertical="center"/>
    </xf>
    <xf numFmtId="2" fontId="19" fillId="8" borderId="102" xfId="0" applyNumberFormat="1" applyFont="1" applyFill="1" applyBorder="1" applyAlignment="1">
      <alignment horizontal="center" vertical="center"/>
    </xf>
    <xf numFmtId="2" fontId="13" fillId="2" borderId="103" xfId="0" applyNumberFormat="1" applyFont="1" applyFill="1" applyBorder="1" applyAlignment="1">
      <alignment horizontal="center" vertical="center"/>
    </xf>
    <xf numFmtId="41" fontId="13" fillId="2" borderId="105" xfId="0" applyNumberFormat="1" applyFont="1" applyFill="1" applyBorder="1" applyAlignment="1">
      <alignment horizontal="center" vertical="center"/>
    </xf>
    <xf numFmtId="41" fontId="13" fillId="2" borderId="28" xfId="0" applyNumberFormat="1" applyFont="1" applyFill="1" applyBorder="1" applyAlignment="1">
      <alignment horizontal="center" vertical="center"/>
    </xf>
    <xf numFmtId="41" fontId="13" fillId="2" borderId="103" xfId="0" applyNumberFormat="1" applyFont="1" applyFill="1" applyBorder="1" applyAlignment="1">
      <alignment horizontal="center" vertical="center"/>
    </xf>
    <xf numFmtId="1" fontId="3" fillId="2" borderId="103" xfId="0" applyNumberFormat="1" applyFont="1" applyFill="1" applyBorder="1" applyAlignment="1">
      <alignment horizontal="center" vertical="center"/>
    </xf>
    <xf numFmtId="166" fontId="29" fillId="8" borderId="0" xfId="13" applyNumberFormat="1" applyFont="1" applyFill="1" applyBorder="1" applyAlignment="1">
      <alignment horizontal="center" vertical="center"/>
    </xf>
    <xf numFmtId="172" fontId="27" fillId="16" borderId="119" xfId="13" applyNumberFormat="1" applyFont="1" applyFill="1" applyBorder="1" applyAlignment="1">
      <alignment horizontal="center" vertical="center"/>
    </xf>
    <xf numFmtId="166" fontId="29" fillId="2" borderId="0" xfId="13" applyNumberFormat="1" applyFont="1" applyFill="1" applyBorder="1" applyAlignment="1">
      <alignment horizontal="center" vertical="top"/>
    </xf>
    <xf numFmtId="166" fontId="27" fillId="16" borderId="119" xfId="13" applyNumberFormat="1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10" fillId="0" borderId="0" xfId="8" applyFont="1"/>
    <xf numFmtId="0" fontId="107" fillId="0" borderId="0" xfId="8" applyFont="1"/>
    <xf numFmtId="0" fontId="111" fillId="0" borderId="0" xfId="8" applyFont="1"/>
    <xf numFmtId="0" fontId="113" fillId="0" borderId="0" xfId="8" applyFont="1" applyAlignment="1">
      <alignment horizontal="left"/>
    </xf>
    <xf numFmtId="0" fontId="115" fillId="54" borderId="133" xfId="8" applyFont="1" applyFill="1" applyBorder="1" applyAlignment="1">
      <alignment horizontal="center" vertical="center" wrapText="1"/>
    </xf>
    <xf numFmtId="0" fontId="115" fillId="54" borderId="108" xfId="8" applyFont="1" applyFill="1" applyBorder="1" applyAlignment="1">
      <alignment horizontal="center" vertical="center" wrapText="1"/>
    </xf>
    <xf numFmtId="0" fontId="115" fillId="54" borderId="134" xfId="8" applyFont="1" applyFill="1" applyBorder="1" applyAlignment="1">
      <alignment horizontal="center" vertical="center" wrapText="1"/>
    </xf>
    <xf numFmtId="0" fontId="115" fillId="54" borderId="135" xfId="8" applyFont="1" applyFill="1" applyBorder="1" applyAlignment="1">
      <alignment horizontal="center" vertical="center" wrapText="1"/>
    </xf>
    <xf numFmtId="0" fontId="115" fillId="54" borderId="136" xfId="8" applyFont="1" applyFill="1" applyBorder="1" applyAlignment="1">
      <alignment horizontal="center" vertical="center" wrapText="1"/>
    </xf>
    <xf numFmtId="0" fontId="117" fillId="55" borderId="113" xfId="8" applyFont="1" applyFill="1" applyBorder="1" applyAlignment="1">
      <alignment horizontal="right" vertical="center"/>
    </xf>
    <xf numFmtId="0" fontId="118" fillId="0" borderId="143" xfId="8" applyFont="1" applyBorder="1"/>
    <xf numFmtId="0" fontId="113" fillId="0" borderId="0" xfId="8" applyFont="1" applyAlignment="1">
      <alignment horizontal="right" vertical="center"/>
    </xf>
    <xf numFmtId="0" fontId="113" fillId="0" borderId="0" xfId="8" applyFont="1" applyAlignment="1">
      <alignment horizontal="center"/>
    </xf>
    <xf numFmtId="0" fontId="119" fillId="0" borderId="0" xfId="8" applyFont="1" applyAlignment="1">
      <alignment horizontal="justify"/>
    </xf>
    <xf numFmtId="0" fontId="108" fillId="0" borderId="0" xfId="8" applyFont="1" applyAlignment="1">
      <alignment horizontal="justify"/>
    </xf>
    <xf numFmtId="0" fontId="115" fillId="54" borderId="154" xfId="8" applyFont="1" applyFill="1" applyBorder="1" applyAlignment="1">
      <alignment horizontal="center" vertical="center" wrapText="1"/>
    </xf>
    <xf numFmtId="0" fontId="116" fillId="55" borderId="150" xfId="8" applyFont="1" applyFill="1" applyBorder="1" applyAlignment="1">
      <alignment vertical="center"/>
    </xf>
    <xf numFmtId="0" fontId="115" fillId="55" borderId="55" xfId="8" applyFont="1" applyFill="1" applyBorder="1" applyAlignment="1">
      <alignment vertical="center"/>
    </xf>
    <xf numFmtId="0" fontId="113" fillId="55" borderId="25" xfId="8" applyFont="1" applyFill="1" applyBorder="1" applyAlignment="1">
      <alignment vertical="center"/>
    </xf>
    <xf numFmtId="0" fontId="113" fillId="55" borderId="87" xfId="8" applyFont="1" applyFill="1" applyBorder="1" applyAlignment="1">
      <alignment vertical="center"/>
    </xf>
    <xf numFmtId="0" fontId="113" fillId="55" borderId="127" xfId="8" applyFont="1" applyFill="1" applyBorder="1" applyAlignment="1">
      <alignment vertical="center"/>
    </xf>
    <xf numFmtId="0" fontId="113" fillId="55" borderId="155" xfId="8" applyFont="1" applyFill="1" applyBorder="1" applyAlignment="1">
      <alignment vertical="center"/>
    </xf>
    <xf numFmtId="0" fontId="113" fillId="55" borderId="151" xfId="8" applyFont="1" applyFill="1" applyBorder="1" applyAlignment="1">
      <alignment vertical="center"/>
    </xf>
    <xf numFmtId="0" fontId="118" fillId="0" borderId="143" xfId="8" applyFont="1" applyBorder="1" applyAlignment="1">
      <alignment vertical="top" wrapText="1"/>
    </xf>
    <xf numFmtId="0" fontId="118" fillId="0" borderId="143" xfId="8" applyFont="1" applyBorder="1" applyAlignment="1">
      <alignment wrapText="1"/>
    </xf>
    <xf numFmtId="0" fontId="115" fillId="54" borderId="156" xfId="8" applyFont="1" applyFill="1" applyBorder="1"/>
    <xf numFmtId="0" fontId="113" fillId="55" borderId="25" xfId="8" applyFont="1" applyFill="1" applyBorder="1" applyAlignment="1">
      <alignment horizontal="right" vertical="center"/>
    </xf>
    <xf numFmtId="0" fontId="113" fillId="55" borderId="85" xfId="8" applyFont="1" applyFill="1" applyBorder="1" applyAlignment="1">
      <alignment horizontal="right" vertical="center"/>
    </xf>
    <xf numFmtId="0" fontId="113" fillId="55" borderId="158" xfId="8" applyFont="1" applyFill="1" applyBorder="1" applyAlignment="1">
      <alignment horizontal="right" vertical="center"/>
    </xf>
    <xf numFmtId="0" fontId="113" fillId="55" borderId="150" xfId="8" applyFont="1" applyFill="1" applyBorder="1" applyAlignment="1">
      <alignment horizontal="right" vertical="center"/>
    </xf>
    <xf numFmtId="0" fontId="115" fillId="54" borderId="148" xfId="8" applyFont="1" applyFill="1" applyBorder="1"/>
    <xf numFmtId="0" fontId="116" fillId="55" borderId="151" xfId="8" applyFont="1" applyFill="1" applyBorder="1" applyAlignment="1">
      <alignment vertical="center"/>
    </xf>
    <xf numFmtId="0" fontId="113" fillId="55" borderId="159" xfId="8" applyFont="1" applyFill="1" applyBorder="1" applyAlignment="1">
      <alignment horizontal="right" vertical="center"/>
    </xf>
    <xf numFmtId="0" fontId="118" fillId="59" borderId="143" xfId="8" applyFont="1" applyFill="1" applyBorder="1" applyAlignment="1">
      <alignment vertical="center"/>
    </xf>
    <xf numFmtId="0" fontId="113" fillId="59" borderId="143" xfId="8" applyFont="1" applyFill="1" applyBorder="1" applyAlignment="1" applyProtection="1">
      <alignment horizontal="right" vertical="center"/>
      <protection locked="0"/>
    </xf>
    <xf numFmtId="0" fontId="118" fillId="0" borderId="143" xfId="8" applyFont="1" applyBorder="1" applyAlignment="1">
      <alignment vertical="center"/>
    </xf>
    <xf numFmtId="0" fontId="113" fillId="0" borderId="143" xfId="8" applyFont="1" applyBorder="1" applyAlignment="1" applyProtection="1">
      <alignment horizontal="right" vertical="center"/>
      <protection locked="0"/>
    </xf>
    <xf numFmtId="0" fontId="108" fillId="54" borderId="153" xfId="8" applyFont="1" applyFill="1" applyBorder="1"/>
    <xf numFmtId="0" fontId="119" fillId="0" borderId="0" xfId="8" applyFont="1" applyAlignment="1">
      <alignment horizontal="right" vertical="center"/>
    </xf>
    <xf numFmtId="0" fontId="107" fillId="0" borderId="0" xfId="8" applyFont="1" applyAlignment="1">
      <alignment horizontal="right" vertical="center"/>
    </xf>
    <xf numFmtId="0" fontId="108" fillId="0" borderId="123" xfId="8" applyFont="1" applyBorder="1" applyAlignment="1">
      <alignment horizontal="justify" vertical="center"/>
    </xf>
    <xf numFmtId="0" fontId="21" fillId="56" borderId="152" xfId="8" applyFont="1" applyFill="1" applyBorder="1" applyAlignment="1" applyProtection="1">
      <alignment horizontal="right" vertical="center"/>
      <protection locked="0"/>
    </xf>
    <xf numFmtId="0" fontId="21" fillId="56" borderId="166" xfId="8" applyFont="1" applyFill="1" applyBorder="1" applyAlignment="1" applyProtection="1">
      <alignment horizontal="right" vertical="center"/>
      <protection locked="0"/>
    </xf>
    <xf numFmtId="0" fontId="21" fillId="56" borderId="124" xfId="8" applyFont="1" applyFill="1" applyBorder="1" applyAlignment="1" applyProtection="1">
      <alignment horizontal="right" vertical="center"/>
      <protection locked="0"/>
    </xf>
    <xf numFmtId="0" fontId="21" fillId="56" borderId="167" xfId="8" applyFont="1" applyFill="1" applyBorder="1" applyAlignment="1" applyProtection="1">
      <alignment horizontal="right" vertical="center"/>
      <protection locked="0"/>
    </xf>
    <xf numFmtId="0" fontId="21" fillId="56" borderId="125" xfId="8" applyFont="1" applyFill="1" applyBorder="1" applyAlignment="1" applyProtection="1">
      <alignment horizontal="right" vertical="center"/>
      <protection locked="0"/>
    </xf>
    <xf numFmtId="0" fontId="115" fillId="0" borderId="153" xfId="8" applyFont="1" applyBorder="1" applyAlignment="1">
      <alignment wrapText="1"/>
    </xf>
    <xf numFmtId="0" fontId="21" fillId="0" borderId="125" xfId="8" applyFont="1" applyBorder="1" applyAlignment="1" applyProtection="1">
      <alignment horizontal="right" vertical="center"/>
      <protection locked="0"/>
    </xf>
    <xf numFmtId="0" fontId="110" fillId="0" borderId="122" xfId="8" applyFont="1" applyBorder="1" applyAlignment="1">
      <alignment horizontal="right" vertical="center"/>
    </xf>
    <xf numFmtId="0" fontId="110" fillId="0" borderId="0" xfId="8" applyFont="1" applyAlignment="1">
      <alignment horizontal="right" vertical="center"/>
    </xf>
    <xf numFmtId="0" fontId="121" fillId="0" borderId="0" xfId="8" applyFont="1"/>
    <xf numFmtId="0" fontId="108" fillId="0" borderId="0" xfId="8" applyFont="1"/>
    <xf numFmtId="0" fontId="112" fillId="0" borderId="0" xfId="8" applyFont="1" applyAlignment="1">
      <alignment horizontal="justify" vertical="center" wrapText="1"/>
    </xf>
    <xf numFmtId="0" fontId="113" fillId="0" borderId="0" xfId="8" applyFont="1"/>
    <xf numFmtId="0" fontId="115" fillId="54" borderId="172" xfId="8" applyFont="1" applyFill="1" applyBorder="1" applyAlignment="1">
      <alignment horizontal="center" vertical="center" wrapText="1"/>
    </xf>
    <xf numFmtId="0" fontId="115" fillId="54" borderId="173" xfId="8" applyFont="1" applyFill="1" applyBorder="1" applyAlignment="1">
      <alignment horizontal="center" vertical="center" wrapText="1"/>
    </xf>
    <xf numFmtId="0" fontId="115" fillId="54" borderId="174" xfId="8" applyFont="1" applyFill="1" applyBorder="1" applyAlignment="1">
      <alignment horizontal="center" vertical="center" wrapText="1"/>
    </xf>
    <xf numFmtId="0" fontId="115" fillId="0" borderId="176" xfId="8" applyFont="1" applyBorder="1" applyAlignment="1">
      <alignment horizontal="center"/>
    </xf>
    <xf numFmtId="0" fontId="21" fillId="0" borderId="128" xfId="8" applyFont="1" applyBorder="1" applyAlignment="1" applyProtection="1">
      <alignment horizontal="right" vertical="center"/>
      <protection locked="0"/>
    </xf>
    <xf numFmtId="0" fontId="107" fillId="60" borderId="112" xfId="8" applyFont="1" applyFill="1" applyBorder="1" applyAlignment="1">
      <alignment horizontal="right" vertical="center"/>
    </xf>
    <xf numFmtId="0" fontId="113" fillId="56" borderId="176" xfId="8" applyFont="1" applyFill="1" applyBorder="1" applyAlignment="1" applyProtection="1">
      <alignment horizontal="right" vertical="center"/>
      <protection locked="0"/>
    </xf>
    <xf numFmtId="0" fontId="115" fillId="0" borderId="143" xfId="8" applyFont="1" applyBorder="1" applyAlignment="1">
      <alignment horizontal="center"/>
    </xf>
    <xf numFmtId="0" fontId="21" fillId="0" borderId="93" xfId="8" applyFont="1" applyBorder="1" applyAlignment="1" applyProtection="1">
      <alignment horizontal="right" vertical="center"/>
      <protection locked="0"/>
    </xf>
    <xf numFmtId="0" fontId="113" fillId="56" borderId="143" xfId="8" applyFont="1" applyFill="1" applyBorder="1" applyAlignment="1" applyProtection="1">
      <alignment horizontal="right" vertical="center"/>
      <protection locked="0"/>
    </xf>
    <xf numFmtId="0" fontId="107" fillId="0" borderId="182" xfId="8" applyFont="1" applyBorder="1" applyAlignment="1" applyProtection="1">
      <alignment horizontal="right" vertical="center"/>
      <protection locked="0"/>
    </xf>
    <xf numFmtId="0" fontId="107" fillId="0" borderId="105" xfId="8" applyFont="1" applyBorder="1" applyAlignment="1" applyProtection="1">
      <alignment horizontal="right" vertical="center"/>
      <protection locked="0"/>
    </xf>
    <xf numFmtId="0" fontId="21" fillId="0" borderId="105" xfId="8" applyFont="1" applyBorder="1" applyAlignment="1" applyProtection="1">
      <alignment horizontal="right" vertical="center" wrapText="1"/>
      <protection locked="0"/>
    </xf>
    <xf numFmtId="0" fontId="107" fillId="0" borderId="106" xfId="8" applyFont="1" applyBorder="1" applyAlignment="1" applyProtection="1">
      <alignment horizontal="right" vertical="center"/>
      <protection locked="0"/>
    </xf>
    <xf numFmtId="0" fontId="107" fillId="0" borderId="115" xfId="8" applyFont="1" applyBorder="1" applyAlignment="1" applyProtection="1">
      <alignment horizontal="right" vertical="center"/>
      <protection locked="0"/>
    </xf>
    <xf numFmtId="0" fontId="107" fillId="0" borderId="141" xfId="8" applyFont="1" applyBorder="1" applyAlignment="1" applyProtection="1">
      <alignment horizontal="right" vertical="center"/>
      <protection locked="0"/>
    </xf>
    <xf numFmtId="0" fontId="115" fillId="0" borderId="143" xfId="8" applyFont="1" applyBorder="1" applyAlignment="1" applyProtection="1">
      <alignment horizontal="center" wrapText="1"/>
      <protection locked="0"/>
    </xf>
    <xf numFmtId="0" fontId="21" fillId="0" borderId="161" xfId="8" applyFont="1" applyBorder="1" applyAlignment="1" applyProtection="1">
      <alignment horizontal="right" vertical="center"/>
      <protection locked="0"/>
    </xf>
    <xf numFmtId="0" fontId="107" fillId="0" borderId="183" xfId="8" applyFont="1" applyBorder="1" applyAlignment="1" applyProtection="1">
      <alignment horizontal="right" vertical="center"/>
      <protection locked="0"/>
    </xf>
    <xf numFmtId="0" fontId="107" fillId="0" borderId="108" xfId="8" applyFont="1" applyBorder="1" applyAlignment="1" applyProtection="1">
      <alignment horizontal="right" vertical="center"/>
      <protection locked="0"/>
    </xf>
    <xf numFmtId="0" fontId="107" fillId="0" borderId="184" xfId="8" applyFont="1" applyBorder="1" applyAlignment="1" applyProtection="1">
      <alignment horizontal="right" vertical="center"/>
      <protection locked="0"/>
    </xf>
    <xf numFmtId="0" fontId="107" fillId="0" borderId="96" xfId="8" applyFont="1" applyBorder="1" applyAlignment="1" applyProtection="1">
      <alignment horizontal="right" vertical="center"/>
      <protection locked="0"/>
    </xf>
    <xf numFmtId="0" fontId="107" fillId="0" borderId="135" xfId="8" applyFont="1" applyBorder="1" applyAlignment="1" applyProtection="1">
      <alignment horizontal="right" vertical="center"/>
      <protection locked="0"/>
    </xf>
    <xf numFmtId="0" fontId="107" fillId="0" borderId="185" xfId="8" applyFont="1" applyBorder="1" applyAlignment="1" applyProtection="1">
      <alignment horizontal="right" vertical="center"/>
      <protection locked="0"/>
    </xf>
    <xf numFmtId="0" fontId="113" fillId="56" borderId="186" xfId="8" applyFont="1" applyFill="1" applyBorder="1" applyAlignment="1" applyProtection="1">
      <alignment horizontal="right" vertical="center"/>
      <protection locked="0"/>
    </xf>
    <xf numFmtId="0" fontId="115" fillId="54" borderId="131" xfId="8" applyFont="1" applyFill="1" applyBorder="1" applyAlignment="1">
      <alignment horizontal="center"/>
    </xf>
    <xf numFmtId="0" fontId="21" fillId="56" borderId="123" xfId="8" applyFont="1" applyFill="1" applyBorder="1" applyAlignment="1" applyProtection="1">
      <alignment horizontal="right" vertical="center"/>
      <protection locked="0"/>
    </xf>
    <xf numFmtId="0" fontId="113" fillId="56" borderId="152" xfId="8" applyFont="1" applyFill="1" applyBorder="1" applyAlignment="1" applyProtection="1">
      <alignment horizontal="right" vertical="center"/>
      <protection locked="0"/>
    </xf>
    <xf numFmtId="0" fontId="113" fillId="56" borderId="125" xfId="8" applyFont="1" applyFill="1" applyBorder="1" applyAlignment="1" applyProtection="1">
      <alignment horizontal="right" vertical="center"/>
      <protection locked="0"/>
    </xf>
    <xf numFmtId="0" fontId="107" fillId="0" borderId="122" xfId="8" applyFont="1" applyBorder="1" applyAlignment="1">
      <alignment horizontal="right" vertical="center"/>
    </xf>
    <xf numFmtId="0" fontId="107" fillId="0" borderId="112" xfId="8" applyFont="1" applyBorder="1" applyAlignment="1">
      <alignment horizontal="right" vertical="center"/>
    </xf>
    <xf numFmtId="0" fontId="113" fillId="0" borderId="112" xfId="8" applyFont="1" applyBorder="1" applyAlignment="1">
      <alignment horizontal="justify"/>
    </xf>
    <xf numFmtId="0" fontId="113" fillId="0" borderId="0" xfId="8" applyFont="1" applyAlignment="1">
      <alignment horizontal="justify"/>
    </xf>
    <xf numFmtId="0" fontId="107" fillId="0" borderId="112" xfId="8" applyFont="1" applyBorder="1"/>
    <xf numFmtId="2" fontId="21" fillId="0" borderId="115" xfId="8" applyNumberFormat="1" applyFont="1" applyBorder="1" applyAlignment="1" applyProtection="1">
      <alignment horizontal="right" vertical="center"/>
      <protection locked="0"/>
    </xf>
    <xf numFmtId="2" fontId="21" fillId="0" borderId="105" xfId="8" applyNumberFormat="1" applyFont="1" applyBorder="1" applyAlignment="1" applyProtection="1">
      <alignment horizontal="right" vertical="center"/>
      <protection locked="0"/>
    </xf>
    <xf numFmtId="0" fontId="109" fillId="0" borderId="0" xfId="8" applyFont="1"/>
    <xf numFmtId="2" fontId="21" fillId="0" borderId="146" xfId="8" applyNumberFormat="1" applyFont="1" applyBorder="1" applyAlignment="1" applyProtection="1">
      <alignment horizontal="right" vertical="center"/>
      <protection locked="0"/>
    </xf>
    <xf numFmtId="2" fontId="21" fillId="0" borderId="51" xfId="8" applyNumberFormat="1" applyFont="1" applyBorder="1" applyAlignment="1" applyProtection="1">
      <alignment horizontal="right" vertical="center"/>
      <protection locked="0"/>
    </xf>
    <xf numFmtId="2" fontId="21" fillId="56" borderId="149" xfId="8" applyNumberFormat="1" applyFont="1" applyFill="1" applyBorder="1" applyAlignment="1" applyProtection="1">
      <alignment horizontal="right" vertical="center"/>
      <protection locked="0"/>
    </xf>
    <xf numFmtId="2" fontId="21" fillId="0" borderId="143" xfId="8" applyNumberFormat="1" applyFont="1" applyBorder="1" applyAlignment="1" applyProtection="1">
      <alignment horizontal="right" vertical="center"/>
      <protection locked="0"/>
    </xf>
    <xf numFmtId="2" fontId="21" fillId="56" borderId="50" xfId="8" applyNumberFormat="1" applyFont="1" applyFill="1" applyBorder="1" applyAlignment="1" applyProtection="1">
      <alignment horizontal="right" vertical="center"/>
      <protection locked="0"/>
    </xf>
    <xf numFmtId="2" fontId="21" fillId="56" borderId="157" xfId="8" applyNumberFormat="1" applyFont="1" applyFill="1" applyBorder="1" applyAlignment="1" applyProtection="1">
      <alignment horizontal="right" vertical="center"/>
      <protection locked="0"/>
    </xf>
    <xf numFmtId="0" fontId="115" fillId="0" borderId="0" xfId="8" applyFont="1" applyAlignment="1">
      <alignment wrapText="1"/>
    </xf>
    <xf numFmtId="0" fontId="21" fillId="0" borderId="0" xfId="8" applyFont="1" applyAlignment="1" applyProtection="1">
      <alignment horizontal="right" vertical="center"/>
      <protection locked="0"/>
    </xf>
    <xf numFmtId="2" fontId="113" fillId="56" borderId="165" xfId="8" applyNumberFormat="1" applyFont="1" applyFill="1" applyBorder="1" applyAlignment="1" applyProtection="1">
      <alignment horizontal="right" vertical="center"/>
      <protection locked="0"/>
    </xf>
    <xf numFmtId="2" fontId="113" fillId="56" borderId="136" xfId="8" applyNumberFormat="1" applyFont="1" applyFill="1" applyBorder="1" applyAlignment="1" applyProtection="1">
      <alignment horizontal="right" vertical="center"/>
      <protection locked="0"/>
    </xf>
    <xf numFmtId="2" fontId="21" fillId="0" borderId="142" xfId="8" applyNumberFormat="1" applyFont="1" applyBorder="1" applyAlignment="1" applyProtection="1">
      <alignment horizontal="right" vertical="center"/>
      <protection locked="0"/>
    </xf>
    <xf numFmtId="2" fontId="21" fillId="0" borderId="130" xfId="8" applyNumberFormat="1" applyFont="1" applyBorder="1" applyAlignment="1" applyProtection="1">
      <alignment horizontal="right" vertical="center"/>
      <protection locked="0"/>
    </xf>
    <xf numFmtId="2" fontId="21" fillId="0" borderId="50" xfId="8" applyNumberFormat="1" applyFont="1" applyBorder="1" applyAlignment="1" applyProtection="1">
      <alignment horizontal="right" vertical="center"/>
      <protection locked="0"/>
    </xf>
    <xf numFmtId="2" fontId="21" fillId="0" borderId="147" xfId="8" applyNumberFormat="1" applyFont="1" applyBorder="1" applyAlignment="1" applyProtection="1">
      <alignment horizontal="right" vertical="center"/>
      <protection locked="0"/>
    </xf>
    <xf numFmtId="2" fontId="21" fillId="0" borderId="148" xfId="8" applyNumberFormat="1" applyFont="1" applyBorder="1" applyAlignment="1" applyProtection="1">
      <alignment horizontal="right" vertical="center"/>
      <protection locked="0"/>
    </xf>
    <xf numFmtId="2" fontId="21" fillId="55" borderId="150" xfId="8" applyNumberFormat="1" applyFont="1" applyFill="1" applyBorder="1" applyAlignment="1">
      <alignment horizontal="right" vertical="center"/>
    </xf>
    <xf numFmtId="2" fontId="21" fillId="56" borderId="145" xfId="8" applyNumberFormat="1" applyFont="1" applyFill="1" applyBorder="1" applyAlignment="1" applyProtection="1">
      <alignment horizontal="right" vertical="center"/>
      <protection locked="0"/>
    </xf>
    <xf numFmtId="2" fontId="113" fillId="56" borderId="152" xfId="8" applyNumberFormat="1" applyFont="1" applyFill="1" applyBorder="1" applyAlignment="1" applyProtection="1">
      <alignment horizontal="right" vertical="center"/>
      <protection locked="0"/>
    </xf>
    <xf numFmtId="2" fontId="21" fillId="56" borderId="86" xfId="8" applyNumberFormat="1" applyFont="1" applyFill="1" applyBorder="1" applyAlignment="1" applyProtection="1">
      <alignment horizontal="right" vertical="center"/>
      <protection locked="0"/>
    </xf>
    <xf numFmtId="2" fontId="113" fillId="56" borderId="192" xfId="8" applyNumberFormat="1" applyFont="1" applyFill="1" applyBorder="1" applyAlignment="1" applyProtection="1">
      <alignment horizontal="right" vertical="center"/>
      <protection locked="0"/>
    </xf>
    <xf numFmtId="0" fontId="116" fillId="55" borderId="194" xfId="8" applyFont="1" applyFill="1" applyBorder="1"/>
    <xf numFmtId="0" fontId="118" fillId="0" borderId="116" xfId="8" applyFont="1" applyBorder="1"/>
    <xf numFmtId="0" fontId="118" fillId="0" borderId="116" xfId="8" applyFont="1" applyBorder="1" applyAlignment="1">
      <alignment vertical="top" wrapText="1"/>
    </xf>
    <xf numFmtId="0" fontId="118" fillId="0" borderId="20" xfId="8" applyFont="1" applyBorder="1" applyAlignment="1">
      <alignment wrapText="1"/>
    </xf>
    <xf numFmtId="0" fontId="115" fillId="54" borderId="7" xfId="8" applyFont="1" applyFill="1" applyBorder="1"/>
    <xf numFmtId="0" fontId="116" fillId="55" borderId="19" xfId="8" applyFont="1" applyFill="1" applyBorder="1"/>
    <xf numFmtId="0" fontId="115" fillId="54" borderId="20" xfId="8" applyFont="1" applyFill="1" applyBorder="1"/>
    <xf numFmtId="0" fontId="108" fillId="54" borderId="195" xfId="8" applyFont="1" applyFill="1" applyBorder="1"/>
    <xf numFmtId="0" fontId="115" fillId="54" borderId="156" xfId="8" applyFont="1" applyFill="1" applyBorder="1" applyAlignment="1">
      <alignment wrapText="1"/>
    </xf>
    <xf numFmtId="2" fontId="21" fillId="56" borderId="80" xfId="8" applyNumberFormat="1" applyFont="1" applyFill="1" applyBorder="1" applyAlignment="1" applyProtection="1">
      <alignment horizontal="right" vertical="center"/>
      <protection locked="0"/>
    </xf>
    <xf numFmtId="2" fontId="113" fillId="55" borderId="55" xfId="8" applyNumberFormat="1" applyFont="1" applyFill="1" applyBorder="1" applyAlignment="1">
      <alignment horizontal="right" vertical="center"/>
    </xf>
    <xf numFmtId="2" fontId="113" fillId="55" borderId="25" xfId="8" applyNumberFormat="1" applyFont="1" applyFill="1" applyBorder="1" applyAlignment="1">
      <alignment horizontal="right" vertical="center"/>
    </xf>
    <xf numFmtId="2" fontId="113" fillId="55" borderId="85" xfId="8" applyNumberFormat="1" applyFont="1" applyFill="1" applyBorder="1" applyAlignment="1">
      <alignment horizontal="right" vertical="center"/>
    </xf>
    <xf numFmtId="2" fontId="113" fillId="55" borderId="158" xfId="8" applyNumberFormat="1" applyFont="1" applyFill="1" applyBorder="1" applyAlignment="1">
      <alignment horizontal="right" vertical="center"/>
    </xf>
    <xf numFmtId="2" fontId="113" fillId="55" borderId="150" xfId="8" applyNumberFormat="1" applyFont="1" applyFill="1" applyBorder="1" applyAlignment="1">
      <alignment horizontal="right" vertical="center"/>
    </xf>
    <xf numFmtId="2" fontId="113" fillId="55" borderId="159" xfId="8" applyNumberFormat="1" applyFont="1" applyFill="1" applyBorder="1" applyAlignment="1">
      <alignment horizontal="right" vertical="center"/>
    </xf>
    <xf numFmtId="2" fontId="113" fillId="59" borderId="143" xfId="8" applyNumberFormat="1" applyFont="1" applyFill="1" applyBorder="1" applyAlignment="1" applyProtection="1">
      <alignment horizontal="right" vertical="center"/>
      <protection locked="0"/>
    </xf>
    <xf numFmtId="2" fontId="113" fillId="0" borderId="143" xfId="8" applyNumberFormat="1" applyFont="1" applyBorder="1" applyAlignment="1" applyProtection="1">
      <alignment horizontal="right" vertical="center"/>
      <protection locked="0"/>
    </xf>
    <xf numFmtId="0" fontId="69" fillId="2" borderId="0" xfId="0" applyFont="1" applyFill="1" applyAlignment="1">
      <alignment wrapText="1"/>
    </xf>
    <xf numFmtId="0" fontId="69" fillId="2" borderId="0" xfId="0" applyFont="1" applyFill="1"/>
    <xf numFmtId="0" fontId="63" fillId="2" borderId="0" xfId="0" applyFont="1" applyFill="1" applyAlignment="1">
      <alignment horizontal="center" wrapText="1"/>
    </xf>
    <xf numFmtId="2" fontId="63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vertical="top"/>
    </xf>
    <xf numFmtId="0" fontId="63" fillId="2" borderId="78" xfId="0" applyFont="1" applyFill="1" applyBorder="1"/>
    <xf numFmtId="2" fontId="69" fillId="2" borderId="0" xfId="0" applyNumberFormat="1" applyFont="1" applyFill="1"/>
    <xf numFmtId="43" fontId="69" fillId="2" borderId="78" xfId="13" applyFont="1" applyFill="1" applyBorder="1" applyAlignment="1">
      <alignment horizontal="center"/>
    </xf>
    <xf numFmtId="43" fontId="69" fillId="2" borderId="0" xfId="0" applyNumberFormat="1" applyFont="1" applyFill="1"/>
    <xf numFmtId="2" fontId="68" fillId="2" borderId="0" xfId="0" applyNumberFormat="1" applyFont="1" applyFill="1" applyAlignment="1">
      <alignment horizontal="center" vertical="center"/>
    </xf>
    <xf numFmtId="2" fontId="93" fillId="2" borderId="0" xfId="0" applyNumberFormat="1" applyFont="1" applyFill="1" applyAlignment="1">
      <alignment horizontal="center" vertical="top"/>
    </xf>
    <xf numFmtId="2" fontId="69" fillId="2" borderId="105" xfId="0" applyNumberFormat="1" applyFont="1" applyFill="1" applyBorder="1" applyAlignment="1">
      <alignment horizontal="center" vertical="center"/>
    </xf>
    <xf numFmtId="43" fontId="69" fillId="2" borderId="0" xfId="13" applyFont="1" applyFill="1" applyBorder="1"/>
    <xf numFmtId="43" fontId="63" fillId="2" borderId="0" xfId="13" applyFont="1" applyFill="1" applyBorder="1" applyAlignment="1">
      <alignment horizontal="center" vertical="center"/>
    </xf>
    <xf numFmtId="43" fontId="69" fillId="2" borderId="0" xfId="13" applyFont="1" applyFill="1"/>
    <xf numFmtId="179" fontId="69" fillId="8" borderId="0" xfId="13" applyNumberFormat="1" applyFont="1" applyFill="1" applyBorder="1" applyAlignment="1">
      <alignment horizontal="center" vertical="center"/>
    </xf>
    <xf numFmtId="180" fontId="63" fillId="2" borderId="105" xfId="17" applyNumberFormat="1" applyFont="1" applyFill="1" applyBorder="1" applyAlignment="1">
      <alignment horizontal="center" wrapText="1"/>
    </xf>
    <xf numFmtId="43" fontId="69" fillId="2" borderId="105" xfId="13" applyFont="1" applyFill="1" applyBorder="1" applyAlignment="1">
      <alignment vertical="center"/>
    </xf>
    <xf numFmtId="43" fontId="63" fillId="2" borderId="105" xfId="13" applyFont="1" applyFill="1" applyBorder="1" applyAlignment="1">
      <alignment horizontal="center" vertical="center"/>
    </xf>
    <xf numFmtId="0" fontId="63" fillId="2" borderId="105" xfId="0" applyFont="1" applyFill="1" applyBorder="1" applyAlignment="1">
      <alignment horizontal="center" vertical="center" wrapText="1"/>
    </xf>
    <xf numFmtId="180" fontId="69" fillId="2" borderId="105" xfId="17" applyNumberFormat="1" applyFont="1" applyFill="1" applyBorder="1" applyAlignment="1">
      <alignment horizontal="center" wrapText="1"/>
    </xf>
    <xf numFmtId="0" fontId="69" fillId="2" borderId="78" xfId="0" applyFont="1" applyFill="1" applyBorder="1" applyAlignment="1">
      <alignment horizontal="center"/>
    </xf>
    <xf numFmtId="0" fontId="63" fillId="2" borderId="78" xfId="0" applyFont="1" applyFill="1" applyBorder="1" applyAlignment="1">
      <alignment horizontal="center"/>
    </xf>
    <xf numFmtId="0" fontId="69" fillId="2" borderId="105" xfId="0" applyFont="1" applyFill="1" applyBorder="1" applyAlignment="1">
      <alignment horizontal="center" vertical="center" wrapText="1"/>
    </xf>
    <xf numFmtId="0" fontId="63" fillId="10" borderId="105" xfId="0" applyFont="1" applyFill="1" applyBorder="1" applyAlignment="1">
      <alignment horizontal="center" vertical="center" wrapText="1"/>
    </xf>
    <xf numFmtId="0" fontId="63" fillId="10" borderId="78" xfId="0" applyFont="1" applyFill="1" applyBorder="1"/>
    <xf numFmtId="10" fontId="63" fillId="10" borderId="78" xfId="0" applyNumberFormat="1" applyFont="1" applyFill="1" applyBorder="1" applyAlignment="1">
      <alignment horizontal="center"/>
    </xf>
    <xf numFmtId="43" fontId="63" fillId="10" borderId="78" xfId="13" applyFont="1" applyFill="1" applyBorder="1" applyAlignment="1">
      <alignment horizontal="center"/>
    </xf>
    <xf numFmtId="0" fontId="63" fillId="10" borderId="105" xfId="0" applyFont="1" applyFill="1" applyBorder="1" applyAlignment="1">
      <alignment horizontal="center" wrapText="1"/>
    </xf>
    <xf numFmtId="0" fontId="62" fillId="18" borderId="16" xfId="71" applyFont="1" applyFill="1" applyBorder="1" applyAlignment="1">
      <alignment horizontal="center" vertical="center"/>
    </xf>
    <xf numFmtId="0" fontId="31" fillId="19" borderId="83" xfId="0" applyFont="1" applyFill="1" applyBorder="1" applyAlignment="1">
      <alignment horizontal="left" vertical="center" wrapText="1"/>
    </xf>
    <xf numFmtId="166" fontId="31" fillId="19" borderId="184" xfId="0" applyNumberFormat="1" applyFont="1" applyFill="1" applyBorder="1" applyAlignment="1">
      <alignment horizontal="center" vertical="center"/>
    </xf>
    <xf numFmtId="0" fontId="31" fillId="19" borderId="107" xfId="0" applyFont="1" applyFill="1" applyBorder="1" applyAlignment="1">
      <alignment horizontal="left" vertical="center" wrapText="1"/>
    </xf>
    <xf numFmtId="166" fontId="31" fillId="19" borderId="106" xfId="16" applyNumberFormat="1" applyFont="1" applyFill="1" applyBorder="1" applyAlignment="1">
      <alignment horizontal="center" vertical="center"/>
    </xf>
    <xf numFmtId="0" fontId="31" fillId="16" borderId="102" xfId="0" applyFont="1" applyFill="1" applyBorder="1" applyAlignment="1">
      <alignment horizontal="left" vertical="center" wrapText="1"/>
    </xf>
    <xf numFmtId="168" fontId="31" fillId="16" borderId="104" xfId="0" applyNumberFormat="1" applyFont="1" applyFill="1" applyBorder="1" applyAlignment="1">
      <alignment horizontal="center" vertical="center"/>
    </xf>
    <xf numFmtId="0" fontId="84" fillId="18" borderId="105" xfId="71" applyFont="1" applyFill="1" applyBorder="1" applyAlignment="1">
      <alignment horizontal="center" vertical="center" wrapText="1"/>
    </xf>
    <xf numFmtId="2" fontId="66" fillId="0" borderId="105" xfId="71" applyNumberFormat="1" applyFont="1" applyBorder="1" applyAlignment="1">
      <alignment horizontal="right" vertical="center" wrapText="1"/>
    </xf>
    <xf numFmtId="0" fontId="66" fillId="0" borderId="105" xfId="71" applyFont="1" applyBorder="1" applyAlignment="1">
      <alignment horizontal="center" vertical="center" wrapText="1"/>
    </xf>
    <xf numFmtId="2" fontId="66" fillId="0" borderId="105" xfId="71" applyNumberFormat="1" applyFont="1" applyBorder="1" applyAlignment="1">
      <alignment horizontal="center" vertical="center" wrapText="1"/>
    </xf>
    <xf numFmtId="2" fontId="84" fillId="18" borderId="105" xfId="71" applyNumberFormat="1" applyFont="1" applyFill="1" applyBorder="1" applyAlignment="1">
      <alignment vertical="center" wrapText="1"/>
    </xf>
    <xf numFmtId="2" fontId="84" fillId="18" borderId="105" xfId="71" applyNumberFormat="1" applyFont="1" applyFill="1" applyBorder="1" applyAlignment="1">
      <alignment horizontal="center" vertical="center" wrapText="1"/>
    </xf>
    <xf numFmtId="0" fontId="84" fillId="18" borderId="89" xfId="71" applyFont="1" applyFill="1" applyBorder="1" applyAlignment="1">
      <alignment horizontal="center" vertical="center" wrapText="1"/>
    </xf>
    <xf numFmtId="0" fontId="66" fillId="0" borderId="0" xfId="71" applyFont="1" applyAlignment="1">
      <alignment horizontal="center"/>
    </xf>
    <xf numFmtId="0" fontId="66" fillId="0" borderId="0" xfId="0" applyFont="1" applyAlignment="1">
      <alignment horizontal="center"/>
    </xf>
    <xf numFmtId="0" fontId="123" fillId="0" borderId="78" xfId="0" applyFont="1" applyBorder="1" applyAlignment="1">
      <alignment horizontal="center" vertical="center" wrapText="1"/>
    </xf>
    <xf numFmtId="0" fontId="124" fillId="0" borderId="78" xfId="0" applyFont="1" applyBorder="1" applyAlignment="1">
      <alignment horizontal="center" vertical="center" wrapText="1"/>
    </xf>
    <xf numFmtId="0" fontId="87" fillId="18" borderId="82" xfId="0" applyFont="1" applyFill="1" applyBorder="1" applyAlignment="1">
      <alignment horizontal="center" vertical="center" wrapText="1"/>
    </xf>
    <xf numFmtId="0" fontId="73" fillId="0" borderId="78" xfId="0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2" fontId="63" fillId="0" borderId="8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6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19" fillId="10" borderId="79" xfId="0" applyFont="1" applyFill="1" applyBorder="1"/>
    <xf numFmtId="0" fontId="19" fillId="10" borderId="197" xfId="0" applyFont="1" applyFill="1" applyBorder="1"/>
    <xf numFmtId="0" fontId="125" fillId="8" borderId="199" xfId="0" applyFont="1" applyFill="1" applyBorder="1"/>
    <xf numFmtId="43" fontId="125" fillId="2" borderId="199" xfId="13" applyFont="1" applyFill="1" applyBorder="1"/>
    <xf numFmtId="0" fontId="125" fillId="8" borderId="200" xfId="0" applyFont="1" applyFill="1" applyBorder="1"/>
    <xf numFmtId="0" fontId="125" fillId="8" borderId="46" xfId="0" applyFont="1" applyFill="1" applyBorder="1"/>
    <xf numFmtId="43" fontId="125" fillId="8" borderId="46" xfId="13" applyFont="1" applyFill="1" applyBorder="1"/>
    <xf numFmtId="0" fontId="125" fillId="8" borderId="11" xfId="0" applyFont="1" applyFill="1" applyBorder="1"/>
    <xf numFmtId="181" fontId="125" fillId="8" borderId="46" xfId="13" applyNumberFormat="1" applyFont="1" applyFill="1" applyBorder="1"/>
    <xf numFmtId="0" fontId="125" fillId="8" borderId="101" xfId="0" applyFont="1" applyFill="1" applyBorder="1"/>
    <xf numFmtId="43" fontId="125" fillId="8" borderId="101" xfId="13" applyFont="1" applyFill="1" applyBorder="1"/>
    <xf numFmtId="0" fontId="125" fillId="8" borderId="15" xfId="0" applyFont="1" applyFill="1" applyBorder="1"/>
    <xf numFmtId="0" fontId="2" fillId="2" borderId="0" xfId="0" applyFont="1" applyFill="1" applyAlignment="1">
      <alignment horizontal="center"/>
    </xf>
    <xf numFmtId="0" fontId="62" fillId="18" borderId="8" xfId="71" applyFont="1" applyFill="1" applyBorder="1" applyAlignment="1">
      <alignment horizontal="center" vertical="center"/>
    </xf>
    <xf numFmtId="0" fontId="75" fillId="0" borderId="99" xfId="71" applyFont="1" applyBorder="1" applyAlignment="1">
      <alignment horizontal="center" vertical="center"/>
    </xf>
    <xf numFmtId="0" fontId="75" fillId="0" borderId="18" xfId="71" applyFont="1" applyBorder="1" applyAlignment="1">
      <alignment horizontal="center" vertical="center"/>
    </xf>
    <xf numFmtId="0" fontId="75" fillId="0" borderId="19" xfId="71" applyFont="1" applyBorder="1" applyAlignment="1">
      <alignment horizontal="center" vertical="center"/>
    </xf>
    <xf numFmtId="0" fontId="75" fillId="0" borderId="7" xfId="71" applyFont="1" applyBorder="1" applyAlignment="1">
      <alignment horizontal="center" vertical="center"/>
    </xf>
    <xf numFmtId="0" fontId="19" fillId="10" borderId="196" xfId="0" applyFont="1" applyFill="1" applyBorder="1" applyAlignment="1">
      <alignment horizontal="center"/>
    </xf>
    <xf numFmtId="0" fontId="125" fillId="8" borderId="198" xfId="0" applyFont="1" applyFill="1" applyBorder="1" applyAlignment="1">
      <alignment horizontal="center"/>
    </xf>
    <xf numFmtId="0" fontId="125" fillId="8" borderId="10" xfId="0" applyFont="1" applyFill="1" applyBorder="1" applyAlignment="1">
      <alignment horizontal="center"/>
    </xf>
    <xf numFmtId="0" fontId="125" fillId="8" borderId="14" xfId="0" applyFont="1" applyFill="1" applyBorder="1" applyAlignment="1">
      <alignment horizontal="center"/>
    </xf>
    <xf numFmtId="182" fontId="66" fillId="0" borderId="78" xfId="13" applyNumberFormat="1" applyFont="1" applyBorder="1" applyAlignment="1">
      <alignment horizontal="center" vertical="center" wrapText="1"/>
    </xf>
    <xf numFmtId="2" fontId="69" fillId="0" borderId="0" xfId="0" applyNumberFormat="1" applyFont="1" applyAlignment="1">
      <alignment horizontal="center" vertical="center"/>
    </xf>
    <xf numFmtId="43" fontId="4" fillId="0" borderId="0" xfId="71" applyNumberFormat="1" applyAlignment="1">
      <alignment horizontal="center" vertical="center"/>
    </xf>
    <xf numFmtId="0" fontId="63" fillId="10" borderId="105" xfId="0" applyFont="1" applyFill="1" applyBorder="1" applyAlignment="1">
      <alignment horizontal="center" vertical="center"/>
    </xf>
    <xf numFmtId="0" fontId="63" fillId="10" borderId="105" xfId="0" applyFont="1" applyFill="1" applyBorder="1" applyAlignment="1">
      <alignment vertical="center"/>
    </xf>
    <xf numFmtId="0" fontId="69" fillId="2" borderId="105" xfId="0" applyFont="1" applyFill="1" applyBorder="1" applyAlignment="1">
      <alignment horizontal="center" vertical="center"/>
    </xf>
    <xf numFmtId="43" fontId="69" fillId="2" borderId="105" xfId="13" applyFont="1" applyFill="1" applyBorder="1" applyAlignment="1">
      <alignment horizontal="center" vertical="center"/>
    </xf>
    <xf numFmtId="43" fontId="69" fillId="2" borderId="105" xfId="13" applyFont="1" applyFill="1" applyBorder="1" applyAlignment="1">
      <alignment horizontal="center"/>
    </xf>
    <xf numFmtId="2" fontId="68" fillId="2" borderId="105" xfId="0" applyNumberFormat="1" applyFont="1" applyFill="1" applyBorder="1" applyAlignment="1">
      <alignment horizontal="center" vertical="top"/>
    </xf>
    <xf numFmtId="177" fontId="93" fillId="2" borderId="105" xfId="0" applyNumberFormat="1" applyFont="1" applyFill="1" applyBorder="1" applyAlignment="1">
      <alignment horizontal="center" vertical="top"/>
    </xf>
    <xf numFmtId="2" fontId="93" fillId="2" borderId="105" xfId="0" applyNumberFormat="1" applyFont="1" applyFill="1" applyBorder="1" applyAlignment="1">
      <alignment horizontal="center" vertical="top"/>
    </xf>
    <xf numFmtId="169" fontId="93" fillId="2" borderId="105" xfId="0" applyNumberFormat="1" applyFont="1" applyFill="1" applyBorder="1" applyAlignment="1">
      <alignment horizontal="center" vertical="top"/>
    </xf>
    <xf numFmtId="0" fontId="69" fillId="2" borderId="105" xfId="0" applyFont="1" applyFill="1" applyBorder="1" applyAlignment="1">
      <alignment horizontal="center"/>
    </xf>
    <xf numFmtId="43" fontId="63" fillId="2" borderId="0" xfId="0" applyNumberFormat="1" applyFont="1" applyFill="1" applyAlignment="1">
      <alignment horizontal="center" wrapText="1"/>
    </xf>
    <xf numFmtId="0" fontId="126" fillId="2" borderId="0" xfId="0" applyFont="1" applyFill="1" applyAlignment="1">
      <alignment horizontal="center" wrapText="1"/>
    </xf>
    <xf numFmtId="0" fontId="125" fillId="8" borderId="81" xfId="0" applyFont="1" applyFill="1" applyBorder="1"/>
    <xf numFmtId="43" fontId="125" fillId="8" borderId="81" xfId="13" applyFont="1" applyFill="1" applyBorder="1"/>
    <xf numFmtId="0" fontId="125" fillId="8" borderId="13" xfId="0" applyFont="1" applyFill="1" applyBorder="1"/>
    <xf numFmtId="0" fontId="125" fillId="8" borderId="46" xfId="0" applyFont="1" applyFill="1" applyBorder="1" applyAlignment="1">
      <alignment vertical="center"/>
    </xf>
    <xf numFmtId="43" fontId="125" fillId="8" borderId="46" xfId="13" applyFont="1" applyFill="1" applyBorder="1" applyAlignment="1">
      <alignment vertical="center"/>
    </xf>
    <xf numFmtId="0" fontId="125" fillId="8" borderId="11" xfId="0" applyFont="1" applyFill="1" applyBorder="1" applyAlignment="1">
      <alignment vertical="center" wrapText="1"/>
    </xf>
    <xf numFmtId="43" fontId="125" fillId="2" borderId="46" xfId="13" applyFont="1" applyFill="1" applyBorder="1"/>
    <xf numFmtId="0" fontId="127" fillId="8" borderId="11" xfId="0" applyFont="1" applyFill="1" applyBorder="1"/>
    <xf numFmtId="0" fontId="125" fillId="8" borderId="201" xfId="0" applyFont="1" applyFill="1" applyBorder="1"/>
    <xf numFmtId="0" fontId="19" fillId="10" borderId="8" xfId="0" applyFont="1" applyFill="1" applyBorder="1"/>
    <xf numFmtId="0" fontId="125" fillId="8" borderId="91" xfId="0" applyFont="1" applyFill="1" applyBorder="1"/>
    <xf numFmtId="0" fontId="125" fillId="8" borderId="202" xfId="0" applyFont="1" applyFill="1" applyBorder="1"/>
    <xf numFmtId="0" fontId="19" fillId="10" borderId="94" xfId="0" applyFont="1" applyFill="1" applyBorder="1"/>
    <xf numFmtId="0" fontId="19" fillId="10" borderId="9" xfId="0" applyFont="1" applyFill="1" applyBorder="1"/>
    <xf numFmtId="0" fontId="125" fillId="8" borderId="8" xfId="0" applyFont="1" applyFill="1" applyBorder="1"/>
    <xf numFmtId="0" fontId="125" fillId="8" borderId="203" xfId="0" applyFont="1" applyFill="1" applyBorder="1"/>
    <xf numFmtId="43" fontId="125" fillId="2" borderId="48" xfId="13" applyFont="1" applyFill="1" applyBorder="1"/>
    <xf numFmtId="0" fontId="125" fillId="8" borderId="48" xfId="0" applyFont="1" applyFill="1" applyBorder="1"/>
    <xf numFmtId="0" fontId="125" fillId="8" borderId="49" xfId="0" applyFont="1" applyFill="1" applyBorder="1"/>
    <xf numFmtId="0" fontId="118" fillId="0" borderId="143" xfId="8" applyFont="1" applyBorder="1" applyAlignment="1">
      <alignment horizontal="center"/>
    </xf>
    <xf numFmtId="43" fontId="0" fillId="0" borderId="0" xfId="0" applyNumberFormat="1"/>
    <xf numFmtId="2" fontId="107" fillId="0" borderId="0" xfId="8" applyNumberFormat="1" applyFont="1" applyAlignment="1">
      <alignment horizontal="right" vertical="center"/>
    </xf>
    <xf numFmtId="2" fontId="113" fillId="0" borderId="0" xfId="8" applyNumberFormat="1" applyFont="1" applyAlignment="1">
      <alignment horizontal="right" vertical="center"/>
    </xf>
    <xf numFmtId="171" fontId="27" fillId="2" borderId="62" xfId="13" applyNumberFormat="1" applyFont="1" applyFill="1" applyBorder="1" applyAlignment="1">
      <alignment horizontal="center" vertical="center" wrapText="1"/>
    </xf>
    <xf numFmtId="0" fontId="55" fillId="52" borderId="204" xfId="0" applyFont="1" applyFill="1" applyBorder="1" applyAlignment="1">
      <alignment horizontal="right" vertical="center"/>
    </xf>
    <xf numFmtId="0" fontId="55" fillId="52" borderId="103" xfId="0" applyFont="1" applyFill="1" applyBorder="1" applyAlignment="1">
      <alignment horizontal="right" vertical="center"/>
    </xf>
    <xf numFmtId="0" fontId="55" fillId="52" borderId="104" xfId="0" applyFont="1" applyFill="1" applyBorder="1" applyAlignment="1">
      <alignment horizontal="right" vertical="center"/>
    </xf>
    <xf numFmtId="0" fontId="55" fillId="52" borderId="205" xfId="0" applyFont="1" applyFill="1" applyBorder="1" applyAlignment="1">
      <alignment horizontal="right" vertical="center"/>
    </xf>
    <xf numFmtId="0" fontId="55" fillId="52" borderId="206" xfId="0" applyFont="1" applyFill="1" applyBorder="1" applyAlignment="1">
      <alignment horizontal="right" vertical="center"/>
    </xf>
    <xf numFmtId="1" fontId="18" fillId="0" borderId="103" xfId="65" applyNumberFormat="1" applyFont="1" applyBorder="1" applyAlignment="1">
      <alignment horizontal="center" vertical="center"/>
    </xf>
    <xf numFmtId="1" fontId="18" fillId="0" borderId="104" xfId="65" applyNumberFormat="1" applyFont="1" applyBorder="1" applyAlignment="1">
      <alignment horizontal="center" vertical="center"/>
    </xf>
    <xf numFmtId="3" fontId="10" fillId="0" borderId="103" xfId="0" applyNumberFormat="1" applyFont="1" applyBorder="1" applyAlignment="1">
      <alignment horizontal="center" vertical="center"/>
    </xf>
    <xf numFmtId="3" fontId="10" fillId="0" borderId="104" xfId="0" applyNumberFormat="1" applyFont="1" applyBorder="1" applyAlignment="1">
      <alignment horizontal="center" vertical="center"/>
    </xf>
    <xf numFmtId="3" fontId="55" fillId="52" borderId="207" xfId="0" applyNumberFormat="1" applyFont="1" applyFill="1" applyBorder="1" applyAlignment="1">
      <alignment horizontal="right" vertical="center"/>
    </xf>
    <xf numFmtId="3" fontId="55" fillId="52" borderId="118" xfId="0" applyNumberFormat="1" applyFont="1" applyFill="1" applyBorder="1" applyAlignment="1">
      <alignment horizontal="right" vertical="center"/>
    </xf>
    <xf numFmtId="0" fontId="55" fillId="52" borderId="208" xfId="0" applyFont="1" applyFill="1" applyBorder="1" applyAlignment="1">
      <alignment horizontal="right" vertical="center"/>
    </xf>
    <xf numFmtId="2" fontId="66" fillId="61" borderId="78" xfId="0" applyNumberFormat="1" applyFont="1" applyFill="1" applyBorder="1" applyAlignment="1">
      <alignment horizontal="center" vertical="center" wrapText="1"/>
    </xf>
    <xf numFmtId="165" fontId="66" fillId="61" borderId="78" xfId="0" applyNumberFormat="1" applyFont="1" applyFill="1" applyBorder="1" applyAlignment="1">
      <alignment horizontal="center" vertical="center" wrapText="1"/>
    </xf>
    <xf numFmtId="165" fontId="69" fillId="61" borderId="78" xfId="0" applyNumberFormat="1" applyFont="1" applyFill="1" applyBorder="1" applyAlignment="1">
      <alignment horizontal="center" vertical="center" wrapText="1"/>
    </xf>
    <xf numFmtId="2" fontId="69" fillId="61" borderId="78" xfId="0" applyNumberFormat="1" applyFont="1" applyFill="1" applyBorder="1" applyAlignment="1">
      <alignment horizontal="center" vertical="center"/>
    </xf>
    <xf numFmtId="0" fontId="64" fillId="62" borderId="78" xfId="0" applyFont="1" applyFill="1" applyBorder="1" applyAlignment="1">
      <alignment horizontal="center" vertical="center" wrapText="1"/>
    </xf>
    <xf numFmtId="0" fontId="68" fillId="62" borderId="78" xfId="0" applyFont="1" applyFill="1" applyBorder="1" applyAlignment="1">
      <alignment horizontal="center" vertical="center" wrapText="1"/>
    </xf>
    <xf numFmtId="43" fontId="125" fillId="0" borderId="199" xfId="13" applyFont="1" applyFill="1" applyBorder="1"/>
    <xf numFmtId="0" fontId="64" fillId="63" borderId="78" xfId="0" applyFont="1" applyFill="1" applyBorder="1" applyAlignment="1">
      <alignment horizontal="center" vertical="center" wrapText="1"/>
    </xf>
    <xf numFmtId="43" fontId="125" fillId="11" borderId="199" xfId="13" applyFont="1" applyFill="1" applyBorder="1"/>
    <xf numFmtId="182" fontId="66" fillId="0" borderId="78" xfId="13" applyNumberFormat="1" applyFont="1" applyFill="1" applyBorder="1" applyAlignment="1">
      <alignment horizontal="center" vertical="center" wrapText="1"/>
    </xf>
    <xf numFmtId="2" fontId="66" fillId="0" borderId="105" xfId="0" applyNumberFormat="1" applyFont="1" applyBorder="1" applyAlignment="1">
      <alignment horizontal="center" vertical="center" wrapText="1"/>
    </xf>
    <xf numFmtId="0" fontId="64" fillId="64" borderId="78" xfId="0" applyFont="1" applyFill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 wrapText="1"/>
    </xf>
    <xf numFmtId="2" fontId="74" fillId="0" borderId="105" xfId="0" applyNumberFormat="1" applyFont="1" applyBorder="1" applyAlignment="1">
      <alignment horizontal="center" vertical="center"/>
    </xf>
    <xf numFmtId="2" fontId="74" fillId="0" borderId="10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3" fontId="4" fillId="0" borderId="0" xfId="71" applyNumberFormat="1"/>
    <xf numFmtId="0" fontId="128" fillId="0" borderId="56" xfId="0" applyFont="1" applyBorder="1" applyProtection="1">
      <protection hidden="1"/>
    </xf>
    <xf numFmtId="2" fontId="128" fillId="0" borderId="80" xfId="0" applyNumberFormat="1" applyFont="1" applyBorder="1" applyProtection="1">
      <protection hidden="1"/>
    </xf>
    <xf numFmtId="177" fontId="128" fillId="0" borderId="80" xfId="0" applyNumberFormat="1" applyFont="1" applyBorder="1" applyProtection="1">
      <protection hidden="1"/>
    </xf>
    <xf numFmtId="183" fontId="128" fillId="0" borderId="80" xfId="0" applyNumberFormat="1" applyFont="1" applyBorder="1" applyProtection="1">
      <protection hidden="1"/>
    </xf>
    <xf numFmtId="0" fontId="61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2" fontId="74" fillId="0" borderId="0" xfId="0" applyNumberFormat="1" applyFont="1" applyAlignment="1">
      <alignment horizontal="center" vertical="center"/>
    </xf>
    <xf numFmtId="2" fontId="74" fillId="0" borderId="0" xfId="0" applyNumberFormat="1" applyFont="1" applyAlignment="1">
      <alignment horizontal="center" vertical="center" wrapText="1"/>
    </xf>
    <xf numFmtId="2" fontId="66" fillId="0" borderId="0" xfId="0" applyNumberFormat="1" applyFont="1" applyAlignment="1">
      <alignment horizontal="center" vertical="center"/>
    </xf>
    <xf numFmtId="0" fontId="129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10" fontId="69" fillId="2" borderId="78" xfId="17" applyNumberFormat="1" applyFont="1" applyFill="1" applyBorder="1" applyAlignment="1">
      <alignment horizontal="center"/>
    </xf>
    <xf numFmtId="1" fontId="74" fillId="0" borderId="105" xfId="0" applyNumberFormat="1" applyFont="1" applyBorder="1" applyAlignment="1">
      <alignment horizontal="center" vertical="center"/>
    </xf>
    <xf numFmtId="2" fontId="130" fillId="18" borderId="16" xfId="0" applyNumberFormat="1" applyFont="1" applyFill="1" applyBorder="1" applyProtection="1">
      <protection hidden="1"/>
    </xf>
    <xf numFmtId="0" fontId="131" fillId="18" borderId="17" xfId="0" applyFont="1" applyFill="1" applyBorder="1" applyProtection="1">
      <protection hidden="1"/>
    </xf>
    <xf numFmtId="0" fontId="130" fillId="18" borderId="17" xfId="0" applyFont="1" applyFill="1" applyBorder="1" applyProtection="1">
      <protection hidden="1"/>
    </xf>
    <xf numFmtId="0" fontId="130" fillId="18" borderId="18" xfId="0" applyFont="1" applyFill="1" applyBorder="1" applyProtection="1">
      <protection hidden="1"/>
    </xf>
    <xf numFmtId="0" fontId="130" fillId="0" borderId="99" xfId="0" applyFont="1" applyBorder="1" applyProtection="1">
      <protection hidden="1"/>
    </xf>
    <xf numFmtId="0" fontId="130" fillId="0" borderId="91" xfId="0" applyFont="1" applyBorder="1" applyProtection="1">
      <protection hidden="1"/>
    </xf>
    <xf numFmtId="0" fontId="131" fillId="18" borderId="107" xfId="0" applyFont="1" applyFill="1" applyBorder="1"/>
    <xf numFmtId="0" fontId="69" fillId="18" borderId="27" xfId="0" applyFont="1" applyFill="1" applyBorder="1" applyAlignment="1">
      <alignment horizontal="center" vertical="center" wrapText="1"/>
    </xf>
    <xf numFmtId="0" fontId="69" fillId="18" borderId="28" xfId="0" applyFont="1" applyFill="1" applyBorder="1" applyAlignment="1">
      <alignment horizontal="center" vertical="center" wrapText="1"/>
    </xf>
    <xf numFmtId="0" fontId="69" fillId="18" borderId="52" xfId="0" applyFont="1" applyFill="1" applyBorder="1" applyAlignment="1">
      <alignment horizontal="center" vertical="center" wrapText="1"/>
    </xf>
    <xf numFmtId="0" fontId="69" fillId="18" borderId="29" xfId="0" applyFont="1" applyFill="1" applyBorder="1" applyAlignment="1">
      <alignment horizontal="center" vertical="center" wrapText="1"/>
    </xf>
    <xf numFmtId="0" fontId="25" fillId="7" borderId="68" xfId="69" applyFont="1" applyFill="1" applyBorder="1" applyAlignment="1">
      <alignment horizontal="center" vertical="center" wrapText="1"/>
    </xf>
    <xf numFmtId="0" fontId="71" fillId="0" borderId="105" xfId="0" applyFont="1" applyBorder="1" applyAlignment="1">
      <alignment horizontal="center" vertical="center"/>
    </xf>
    <xf numFmtId="0" fontId="123" fillId="0" borderId="105" xfId="0" applyFont="1" applyBorder="1" applyAlignment="1">
      <alignment horizontal="center" vertical="center" wrapText="1"/>
    </xf>
    <xf numFmtId="2" fontId="72" fillId="0" borderId="105" xfId="0" applyNumberFormat="1" applyFont="1" applyBorder="1" applyAlignment="1">
      <alignment horizontal="center" vertical="center"/>
    </xf>
    <xf numFmtId="0" fontId="132" fillId="10" borderId="105" xfId="0" applyFont="1" applyFill="1" applyBorder="1" applyAlignment="1">
      <alignment horizontal="center" vertical="center" wrapText="1"/>
    </xf>
    <xf numFmtId="49" fontId="132" fillId="10" borderId="105" xfId="0" applyNumberFormat="1" applyFont="1" applyFill="1" applyBorder="1" applyAlignment="1">
      <alignment horizontal="center" vertical="center" wrapText="1"/>
    </xf>
    <xf numFmtId="4" fontId="132" fillId="10" borderId="105" xfId="0" applyNumberFormat="1" applyFont="1" applyFill="1" applyBorder="1" applyAlignment="1">
      <alignment horizontal="center" vertical="center" wrapText="1"/>
    </xf>
    <xf numFmtId="1" fontId="133" fillId="0" borderId="105" xfId="0" applyNumberFormat="1" applyFont="1" applyBorder="1" applyAlignment="1">
      <alignment horizontal="center" vertical="center" wrapText="1"/>
    </xf>
    <xf numFmtId="49" fontId="133" fillId="0" borderId="105" xfId="0" applyNumberFormat="1" applyFont="1" applyBorder="1" applyAlignment="1">
      <alignment horizontal="left" vertical="center" wrapText="1"/>
    </xf>
    <xf numFmtId="49" fontId="132" fillId="0" borderId="105" xfId="0" applyNumberFormat="1" applyFont="1" applyBorder="1" applyAlignment="1">
      <alignment horizontal="left" vertical="center" wrapText="1"/>
    </xf>
    <xf numFmtId="49" fontId="132" fillId="0" borderId="105" xfId="0" applyNumberFormat="1" applyFont="1" applyBorder="1" applyAlignment="1">
      <alignment horizontal="center" vertical="center" wrapText="1"/>
    </xf>
    <xf numFmtId="4" fontId="133" fillId="0" borderId="105" xfId="0" applyNumberFormat="1" applyFont="1" applyBorder="1" applyAlignment="1">
      <alignment horizontal="center" vertical="center" wrapText="1"/>
    </xf>
    <xf numFmtId="49" fontId="133" fillId="0" borderId="105" xfId="0" applyNumberFormat="1" applyFont="1" applyBorder="1" applyAlignment="1">
      <alignment horizontal="center" vertical="center" wrapText="1"/>
    </xf>
    <xf numFmtId="4" fontId="133" fillId="0" borderId="105" xfId="0" applyNumberFormat="1" applyFont="1" applyBorder="1" applyAlignment="1">
      <alignment horizontal="right" vertical="center" wrapText="1"/>
    </xf>
    <xf numFmtId="0" fontId="133" fillId="0" borderId="105" xfId="0" applyFont="1" applyBorder="1" applyAlignment="1">
      <alignment horizontal="center" vertical="center" wrapText="1"/>
    </xf>
    <xf numFmtId="0" fontId="134" fillId="0" borderId="0" xfId="0" applyFont="1" applyAlignment="1">
      <alignment vertical="center"/>
    </xf>
    <xf numFmtId="49" fontId="134" fillId="0" borderId="0" xfId="0" applyNumberFormat="1" applyFont="1" applyAlignment="1">
      <alignment vertical="center"/>
    </xf>
    <xf numFmtId="4" fontId="133" fillId="10" borderId="105" xfId="0" applyNumberFormat="1" applyFont="1" applyFill="1" applyBorder="1" applyAlignment="1">
      <alignment horizontal="center" vertical="center" wrapText="1"/>
    </xf>
    <xf numFmtId="4" fontId="133" fillId="10" borderId="105" xfId="0" applyNumberFormat="1" applyFont="1" applyFill="1" applyBorder="1" applyAlignment="1">
      <alignment horizontal="right" vertical="center" wrapText="1"/>
    </xf>
    <xf numFmtId="0" fontId="66" fillId="0" borderId="90" xfId="0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/>
    </xf>
    <xf numFmtId="0" fontId="66" fillId="0" borderId="82" xfId="0" applyFont="1" applyBorder="1" applyAlignment="1">
      <alignment horizontal="center" vertical="center" wrapText="1"/>
    </xf>
    <xf numFmtId="0" fontId="64" fillId="0" borderId="82" xfId="0" applyFont="1" applyBorder="1" applyAlignment="1">
      <alignment horizontal="center" vertical="center" wrapText="1"/>
    </xf>
    <xf numFmtId="0" fontId="64" fillId="0" borderId="78" xfId="0" applyFont="1" applyBorder="1" applyAlignment="1">
      <alignment horizontal="center" vertical="center"/>
    </xf>
    <xf numFmtId="2" fontId="64" fillId="0" borderId="78" xfId="0" applyNumberFormat="1" applyFont="1" applyBorder="1" applyAlignment="1">
      <alignment horizontal="center" vertical="center"/>
    </xf>
    <xf numFmtId="4" fontId="133" fillId="0" borderId="0" xfId="0" applyNumberFormat="1" applyFont="1" applyAlignment="1">
      <alignment horizontal="right" vertical="center" wrapText="1"/>
    </xf>
    <xf numFmtId="4" fontId="133" fillId="10" borderId="0" xfId="0" applyNumberFormat="1" applyFont="1" applyFill="1" applyAlignment="1">
      <alignment horizontal="right" vertical="center" wrapText="1"/>
    </xf>
    <xf numFmtId="0" fontId="87" fillId="18" borderId="78" xfId="0" applyFont="1" applyFill="1" applyBorder="1" applyAlignment="1">
      <alignment horizontal="center" vertical="center" wrapText="1"/>
    </xf>
    <xf numFmtId="0" fontId="134" fillId="0" borderId="105" xfId="0" applyFont="1" applyBorder="1" applyAlignment="1">
      <alignment wrapText="1"/>
    </xf>
    <xf numFmtId="0" fontId="134" fillId="0" borderId="31" xfId="0" applyFont="1" applyBorder="1"/>
    <xf numFmtId="0" fontId="134" fillId="0" borderId="31" xfId="0" applyFont="1" applyBorder="1" applyAlignment="1">
      <alignment wrapText="1"/>
    </xf>
    <xf numFmtId="0" fontId="134" fillId="0" borderId="31" xfId="0" applyFont="1" applyBorder="1" applyAlignment="1">
      <alignment horizontal="right" wrapText="1"/>
    </xf>
    <xf numFmtId="0" fontId="134" fillId="0" borderId="105" xfId="0" applyFont="1" applyBorder="1"/>
    <xf numFmtId="0" fontId="134" fillId="0" borderId="105" xfId="0" applyFont="1" applyBorder="1" applyAlignment="1">
      <alignment horizontal="right"/>
    </xf>
    <xf numFmtId="0" fontId="134" fillId="0" borderId="105" xfId="0" applyFont="1" applyBorder="1" applyAlignment="1">
      <alignment horizontal="right" wrapText="1"/>
    </xf>
    <xf numFmtId="0" fontId="138" fillId="65" borderId="21" xfId="0" applyFont="1" applyFill="1" applyBorder="1" applyAlignment="1">
      <alignment horizontal="right" vertical="center"/>
    </xf>
    <xf numFmtId="0" fontId="138" fillId="65" borderId="22" xfId="0" applyFont="1" applyFill="1" applyBorder="1" applyAlignment="1">
      <alignment horizontal="center" vertical="center" wrapText="1"/>
    </xf>
    <xf numFmtId="0" fontId="138" fillId="65" borderId="22" xfId="0" applyFont="1" applyFill="1" applyBorder="1" applyAlignment="1">
      <alignment horizontal="center" vertical="center"/>
    </xf>
    <xf numFmtId="0" fontId="138" fillId="65" borderId="23" xfId="0" applyFont="1" applyFill="1" applyBorder="1" applyAlignment="1">
      <alignment horizontal="center" vertical="center" wrapText="1"/>
    </xf>
    <xf numFmtId="0" fontId="134" fillId="0" borderId="0" xfId="0" applyFont="1"/>
    <xf numFmtId="0" fontId="134" fillId="0" borderId="31" xfId="0" applyFont="1" applyBorder="1" applyAlignment="1">
      <alignment horizontal="right"/>
    </xf>
    <xf numFmtId="0" fontId="134" fillId="0" borderId="31" xfId="0" applyFont="1" applyBorder="1" applyAlignment="1">
      <alignment horizontal="center"/>
    </xf>
    <xf numFmtId="0" fontId="134" fillId="0" borderId="31" xfId="0" applyFont="1" applyBorder="1" applyAlignment="1">
      <alignment horizontal="center" wrapText="1"/>
    </xf>
    <xf numFmtId="0" fontId="137" fillId="0" borderId="0" xfId="0" applyFont="1" applyAlignment="1">
      <alignment vertical="center"/>
    </xf>
    <xf numFmtId="0" fontId="134" fillId="0" borderId="105" xfId="0" applyFont="1" applyBorder="1" applyAlignment="1">
      <alignment horizontal="center"/>
    </xf>
    <xf numFmtId="0" fontId="134" fillId="0" borderId="105" xfId="0" applyFont="1" applyBorder="1" applyAlignment="1">
      <alignment horizontal="center" wrapText="1"/>
    </xf>
    <xf numFmtId="0" fontId="137" fillId="0" borderId="0" xfId="0" applyFont="1"/>
    <xf numFmtId="0" fontId="134" fillId="0" borderId="0" xfId="0" applyFont="1" applyAlignment="1">
      <alignment horizontal="right"/>
    </xf>
    <xf numFmtId="0" fontId="134" fillId="0" borderId="0" xfId="0" applyFont="1" applyAlignment="1">
      <alignment horizontal="center"/>
    </xf>
    <xf numFmtId="43" fontId="138" fillId="0" borderId="105" xfId="13" applyFont="1" applyBorder="1" applyAlignment="1" applyProtection="1">
      <alignment horizontal="center" vertical="center"/>
    </xf>
    <xf numFmtId="43" fontId="134" fillId="0" borderId="0" xfId="0" applyNumberFormat="1" applyFont="1"/>
    <xf numFmtId="2" fontId="134" fillId="0" borderId="105" xfId="0" applyNumberFormat="1" applyFont="1" applyBorder="1"/>
    <xf numFmtId="169" fontId="72" fillId="0" borderId="105" xfId="0" applyNumberFormat="1" applyFont="1" applyBorder="1" applyAlignment="1">
      <alignment horizontal="center" vertical="center"/>
    </xf>
    <xf numFmtId="176" fontId="72" fillId="0" borderId="105" xfId="0" applyNumberFormat="1" applyFont="1" applyBorder="1" applyAlignment="1">
      <alignment horizontal="center" vertical="center"/>
    </xf>
    <xf numFmtId="0" fontId="57" fillId="20" borderId="0" xfId="0" applyFont="1" applyFill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23" fillId="9" borderId="17" xfId="0" applyFont="1" applyFill="1" applyBorder="1" applyAlignment="1">
      <alignment vertical="center"/>
    </xf>
    <xf numFmtId="0" fontId="56" fillId="7" borderId="103" xfId="69" applyFont="1" applyFill="1" applyBorder="1" applyAlignment="1">
      <alignment horizontal="center" vertical="center" wrapText="1"/>
    </xf>
    <xf numFmtId="2" fontId="57" fillId="8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05" xfId="0" applyFont="1" applyFill="1" applyBorder="1" applyAlignment="1">
      <alignment vertical="center"/>
    </xf>
    <xf numFmtId="0" fontId="13" fillId="2" borderId="105" xfId="0" applyFont="1" applyFill="1" applyBorder="1" applyAlignment="1">
      <alignment vertical="center"/>
    </xf>
    <xf numFmtId="2" fontId="13" fillId="2" borderId="105" xfId="0" applyNumberFormat="1" applyFont="1" applyFill="1" applyBorder="1" applyAlignment="1">
      <alignment vertical="center"/>
    </xf>
    <xf numFmtId="0" fontId="69" fillId="0" borderId="0" xfId="0" applyFont="1" applyAlignment="1">
      <alignment horizontal="center" vertical="center" wrapText="1"/>
    </xf>
    <xf numFmtId="2" fontId="69" fillId="0" borderId="0" xfId="0" applyNumberFormat="1" applyFont="1" applyAlignment="1">
      <alignment horizontal="center" vertical="center" wrapText="1"/>
    </xf>
    <xf numFmtId="1" fontId="69" fillId="0" borderId="105" xfId="0" applyNumberFormat="1" applyFont="1" applyBorder="1" applyAlignment="1">
      <alignment horizontal="center" vertical="center" wrapText="1"/>
    </xf>
    <xf numFmtId="0" fontId="2" fillId="2" borderId="105" xfId="0" applyFont="1" applyFill="1" applyBorder="1" applyAlignment="1">
      <alignment horizontal="center" vertical="center"/>
    </xf>
    <xf numFmtId="0" fontId="13" fillId="2" borderId="105" xfId="0" applyFont="1" applyFill="1" applyBorder="1" applyAlignment="1">
      <alignment horizontal="center" vertical="center"/>
    </xf>
    <xf numFmtId="177" fontId="13" fillId="2" borderId="105" xfId="0" applyNumberFormat="1" applyFont="1" applyFill="1" applyBorder="1" applyAlignment="1">
      <alignment vertical="center"/>
    </xf>
    <xf numFmtId="0" fontId="88" fillId="18" borderId="105" xfId="0" applyFont="1" applyFill="1" applyBorder="1" applyAlignment="1">
      <alignment horizontal="center" vertical="center"/>
    </xf>
    <xf numFmtId="0" fontId="88" fillId="18" borderId="105" xfId="0" applyFont="1" applyFill="1" applyBorder="1" applyAlignment="1">
      <alignment horizontal="center" vertical="center" wrapText="1"/>
    </xf>
    <xf numFmtId="0" fontId="87" fillId="18" borderId="111" xfId="0" applyFont="1" applyFill="1" applyBorder="1" applyAlignment="1">
      <alignment horizontal="center" vertical="top" wrapText="1"/>
    </xf>
    <xf numFmtId="0" fontId="84" fillId="18" borderId="105" xfId="0" applyFont="1" applyFill="1" applyBorder="1" applyAlignment="1">
      <alignment horizontal="center" vertical="center" wrapText="1"/>
    </xf>
    <xf numFmtId="0" fontId="69" fillId="0" borderId="105" xfId="0" applyFont="1" applyBorder="1" applyAlignment="1">
      <alignment horizontal="center" vertical="center"/>
    </xf>
    <xf numFmtId="2" fontId="69" fillId="0" borderId="105" xfId="0" applyNumberFormat="1" applyFont="1" applyBorder="1" applyAlignment="1">
      <alignment horizontal="center" vertical="center"/>
    </xf>
    <xf numFmtId="0" fontId="63" fillId="0" borderId="111" xfId="0" applyFont="1" applyBorder="1" applyAlignment="1">
      <alignment horizontal="center" vertical="center" wrapText="1"/>
    </xf>
    <xf numFmtId="0" fontId="63" fillId="0" borderId="105" xfId="0" applyFont="1" applyBorder="1" applyAlignment="1">
      <alignment horizontal="center" vertical="center"/>
    </xf>
    <xf numFmtId="2" fontId="63" fillId="0" borderId="105" xfId="0" applyNumberFormat="1" applyFont="1" applyBorder="1" applyAlignment="1">
      <alignment horizontal="center" vertical="center"/>
    </xf>
    <xf numFmtId="0" fontId="124" fillId="0" borderId="105" xfId="0" applyFont="1" applyBorder="1" applyAlignment="1">
      <alignment horizontal="center" vertical="center" wrapText="1"/>
    </xf>
    <xf numFmtId="0" fontId="71" fillId="0" borderId="105" xfId="0" applyFont="1" applyBorder="1" applyAlignment="1">
      <alignment horizontal="center" vertical="center" wrapText="1"/>
    </xf>
    <xf numFmtId="2" fontId="70" fillId="0" borderId="105" xfId="0" applyNumberFormat="1" applyFont="1" applyBorder="1" applyAlignment="1">
      <alignment horizontal="center" vertical="center"/>
    </xf>
    <xf numFmtId="2" fontId="60" fillId="2" borderId="105" xfId="70" applyNumberFormat="1" applyFont="1" applyFill="1" applyBorder="1" applyAlignment="1">
      <alignment horizontal="center" vertical="center"/>
    </xf>
    <xf numFmtId="177" fontId="59" fillId="2" borderId="105" xfId="70" applyNumberFormat="1" applyFont="1" applyFill="1" applyBorder="1" applyAlignment="1">
      <alignment horizontal="center" vertical="center"/>
    </xf>
    <xf numFmtId="2" fontId="59" fillId="2" borderId="105" xfId="70" applyNumberFormat="1" applyFont="1" applyFill="1" applyBorder="1" applyAlignment="1">
      <alignment horizontal="center" vertical="center"/>
    </xf>
    <xf numFmtId="169" fontId="59" fillId="2" borderId="105" xfId="70" applyNumberFormat="1" applyFont="1" applyFill="1" applyBorder="1" applyAlignment="1">
      <alignment horizontal="center" vertical="center"/>
    </xf>
    <xf numFmtId="0" fontId="141" fillId="0" borderId="0" xfId="8" applyFont="1"/>
    <xf numFmtId="0" fontId="136" fillId="0" borderId="0" xfId="0" applyFont="1"/>
    <xf numFmtId="0" fontId="143" fillId="0" borderId="0" xfId="8" applyFont="1" applyAlignment="1">
      <alignment horizontal="left"/>
    </xf>
    <xf numFmtId="0" fontId="144" fillId="54" borderId="133" xfId="8" applyFont="1" applyFill="1" applyBorder="1" applyAlignment="1">
      <alignment horizontal="center" vertical="center" wrapText="1"/>
    </xf>
    <xf numFmtId="0" fontId="144" fillId="54" borderId="108" xfId="8" applyFont="1" applyFill="1" applyBorder="1" applyAlignment="1">
      <alignment horizontal="center" vertical="center" wrapText="1"/>
    </xf>
    <xf numFmtId="0" fontId="144" fillId="54" borderId="134" xfId="8" applyFont="1" applyFill="1" applyBorder="1" applyAlignment="1">
      <alignment horizontal="center" vertical="center" wrapText="1"/>
    </xf>
    <xf numFmtId="0" fontId="144" fillId="54" borderId="135" xfId="8" applyFont="1" applyFill="1" applyBorder="1" applyAlignment="1">
      <alignment horizontal="center" vertical="center" wrapText="1"/>
    </xf>
    <xf numFmtId="0" fontId="144" fillId="54" borderId="136" xfId="8" applyFont="1" applyFill="1" applyBorder="1" applyAlignment="1">
      <alignment horizontal="center" vertical="center" wrapText="1"/>
    </xf>
    <xf numFmtId="0" fontId="145" fillId="55" borderId="113" xfId="8" applyFont="1" applyFill="1" applyBorder="1" applyAlignment="1">
      <alignment horizontal="right" vertical="center"/>
    </xf>
    <xf numFmtId="0" fontId="146" fillId="0" borderId="116" xfId="8" applyFont="1" applyBorder="1"/>
    <xf numFmtId="4" fontId="147" fillId="0" borderId="115" xfId="8" applyNumberFormat="1" applyFont="1" applyBorder="1" applyAlignment="1" applyProtection="1">
      <alignment horizontal="right" vertical="center"/>
      <protection locked="0"/>
    </xf>
    <xf numFmtId="4" fontId="147" fillId="0" borderId="105" xfId="8" applyNumberFormat="1" applyFont="1" applyBorder="1" applyAlignment="1" applyProtection="1">
      <alignment horizontal="right" vertical="center"/>
      <protection locked="0"/>
    </xf>
    <xf numFmtId="4" fontId="147" fillId="0" borderId="142" xfId="8" applyNumberFormat="1" applyFont="1" applyBorder="1" applyAlignment="1" applyProtection="1">
      <alignment horizontal="right" vertical="center"/>
      <protection locked="0"/>
    </xf>
    <xf numFmtId="4" fontId="147" fillId="0" borderId="130" xfId="8" applyNumberFormat="1" applyFont="1" applyBorder="1" applyAlignment="1" applyProtection="1">
      <alignment horizontal="right" vertical="center"/>
      <protection locked="0"/>
    </xf>
    <xf numFmtId="0" fontId="146" fillId="0" borderId="116" xfId="8" applyFont="1" applyBorder="1" applyAlignment="1">
      <alignment vertical="top" wrapText="1"/>
    </xf>
    <xf numFmtId="4" fontId="147" fillId="0" borderId="143" xfId="8" applyNumberFormat="1" applyFont="1" applyBorder="1" applyAlignment="1" applyProtection="1">
      <alignment horizontal="right" vertical="center"/>
      <protection locked="0"/>
    </xf>
    <xf numFmtId="0" fontId="146" fillId="0" borderId="20" xfId="8" applyFont="1" applyBorder="1" applyAlignment="1">
      <alignment wrapText="1"/>
    </xf>
    <xf numFmtId="4" fontId="147" fillId="0" borderId="146" xfId="8" applyNumberFormat="1" applyFont="1" applyBorder="1" applyAlignment="1" applyProtection="1">
      <alignment horizontal="right" vertical="center"/>
      <protection locked="0"/>
    </xf>
    <xf numFmtId="4" fontId="147" fillId="0" borderId="51" xfId="8" applyNumberFormat="1" applyFont="1" applyBorder="1" applyAlignment="1" applyProtection="1">
      <alignment horizontal="right" vertical="center"/>
      <protection locked="0"/>
    </xf>
    <xf numFmtId="4" fontId="147" fillId="0" borderId="50" xfId="8" applyNumberFormat="1" applyFont="1" applyBorder="1" applyAlignment="1" applyProtection="1">
      <alignment horizontal="right" vertical="center"/>
      <protection locked="0"/>
    </xf>
    <xf numFmtId="4" fontId="147" fillId="0" borderId="147" xfId="8" applyNumberFormat="1" applyFont="1" applyBorder="1" applyAlignment="1" applyProtection="1">
      <alignment horizontal="right" vertical="center"/>
      <protection locked="0"/>
    </xf>
    <xf numFmtId="4" fontId="147" fillId="0" borderId="148" xfId="8" applyNumberFormat="1" applyFont="1" applyBorder="1" applyAlignment="1" applyProtection="1">
      <alignment horizontal="right" vertical="center"/>
      <protection locked="0"/>
    </xf>
    <xf numFmtId="0" fontId="144" fillId="54" borderId="7" xfId="8" applyFont="1" applyFill="1" applyBorder="1"/>
    <xf numFmtId="4" fontId="147" fillId="56" borderId="86" xfId="8" applyNumberFormat="1" applyFont="1" applyFill="1" applyBorder="1" applyAlignment="1" applyProtection="1">
      <alignment horizontal="right" vertical="center"/>
      <protection locked="0"/>
    </xf>
    <xf numFmtId="4" fontId="147" fillId="56" borderId="149" xfId="8" applyNumberFormat="1" applyFont="1" applyFill="1" applyBorder="1" applyAlignment="1" applyProtection="1">
      <alignment horizontal="right" vertical="center"/>
      <protection locked="0"/>
    </xf>
    <xf numFmtId="4" fontId="147" fillId="55" borderId="150" xfId="8" applyNumberFormat="1" applyFont="1" applyFill="1" applyBorder="1" applyAlignment="1">
      <alignment horizontal="right" vertical="center"/>
    </xf>
    <xf numFmtId="0" fontId="144" fillId="54" borderId="20" xfId="8" applyFont="1" applyFill="1" applyBorder="1"/>
    <xf numFmtId="4" fontId="147" fillId="56" borderId="50" xfId="8" applyNumberFormat="1" applyFont="1" applyFill="1" applyBorder="1" applyAlignment="1" applyProtection="1">
      <alignment horizontal="right" vertical="center"/>
      <protection locked="0"/>
    </xf>
    <xf numFmtId="4" fontId="147" fillId="56" borderId="145" xfId="8" applyNumberFormat="1" applyFont="1" applyFill="1" applyBorder="1" applyAlignment="1" applyProtection="1">
      <alignment horizontal="right" vertical="center"/>
      <protection locked="0"/>
    </xf>
    <xf numFmtId="4" fontId="143" fillId="56" borderId="192" xfId="8" applyNumberFormat="1" applyFont="1" applyFill="1" applyBorder="1" applyAlignment="1" applyProtection="1">
      <alignment horizontal="right" vertical="center"/>
      <protection locked="0"/>
    </xf>
    <xf numFmtId="4" fontId="143" fillId="56" borderId="152" xfId="8" applyNumberFormat="1" applyFont="1" applyFill="1" applyBorder="1" applyAlignment="1" applyProtection="1">
      <alignment horizontal="right" vertical="center"/>
      <protection locked="0"/>
    </xf>
    <xf numFmtId="0" fontId="143" fillId="0" borderId="0" xfId="8" applyFont="1" applyAlignment="1">
      <alignment horizontal="right" vertical="center"/>
    </xf>
    <xf numFmtId="2" fontId="147" fillId="0" borderId="115" xfId="8" applyNumberFormat="1" applyFont="1" applyBorder="1" applyAlignment="1" applyProtection="1">
      <alignment horizontal="right" vertical="center"/>
      <protection locked="0"/>
    </xf>
    <xf numFmtId="2" fontId="147" fillId="0" borderId="105" xfId="8" applyNumberFormat="1" applyFont="1" applyBorder="1" applyAlignment="1" applyProtection="1">
      <alignment horizontal="right" vertical="center"/>
      <protection locked="0"/>
    </xf>
    <xf numFmtId="2" fontId="147" fillId="0" borderId="142" xfId="8" applyNumberFormat="1" applyFont="1" applyBorder="1" applyAlignment="1" applyProtection="1">
      <alignment horizontal="right" vertical="center"/>
      <protection locked="0"/>
    </xf>
    <xf numFmtId="2" fontId="136" fillId="0" borderId="0" xfId="0" applyNumberFormat="1" applyFont="1"/>
    <xf numFmtId="2" fontId="147" fillId="0" borderId="50" xfId="8" applyNumberFormat="1" applyFont="1" applyBorder="1" applyAlignment="1" applyProtection="1">
      <alignment horizontal="right" vertical="center"/>
      <protection locked="0"/>
    </xf>
    <xf numFmtId="2" fontId="147" fillId="0" borderId="146" xfId="8" applyNumberFormat="1" applyFont="1" applyBorder="1" applyAlignment="1" applyProtection="1">
      <alignment horizontal="right" vertical="center"/>
      <protection locked="0"/>
    </xf>
    <xf numFmtId="2" fontId="147" fillId="0" borderId="51" xfId="8" applyNumberFormat="1" applyFont="1" applyBorder="1" applyAlignment="1" applyProtection="1">
      <alignment horizontal="right" vertical="center"/>
      <protection locked="0"/>
    </xf>
    <xf numFmtId="2" fontId="147" fillId="0" borderId="147" xfId="8" applyNumberFormat="1" applyFont="1" applyBorder="1" applyAlignment="1" applyProtection="1">
      <alignment horizontal="right" vertical="center"/>
      <protection locked="0"/>
    </xf>
    <xf numFmtId="2" fontId="147" fillId="56" borderId="86" xfId="8" applyNumberFormat="1" applyFont="1" applyFill="1" applyBorder="1" applyAlignment="1" applyProtection="1">
      <alignment horizontal="right" vertical="center"/>
      <protection locked="0"/>
    </xf>
    <xf numFmtId="2" fontId="147" fillId="56" borderId="149" xfId="8" applyNumberFormat="1" applyFont="1" applyFill="1" applyBorder="1" applyAlignment="1" applyProtection="1">
      <alignment horizontal="right" vertical="center"/>
      <protection locked="0"/>
    </xf>
    <xf numFmtId="2" fontId="147" fillId="56" borderId="50" xfId="8" applyNumberFormat="1" applyFont="1" applyFill="1" applyBorder="1" applyAlignment="1" applyProtection="1">
      <alignment horizontal="right" vertical="center"/>
      <protection locked="0"/>
    </xf>
    <xf numFmtId="2" fontId="147" fillId="56" borderId="145" xfId="8" applyNumberFormat="1" applyFont="1" applyFill="1" applyBorder="1" applyAlignment="1" applyProtection="1">
      <alignment horizontal="right" vertical="center"/>
      <protection locked="0"/>
    </xf>
    <xf numFmtId="2" fontId="143" fillId="56" borderId="192" xfId="8" applyNumberFormat="1" applyFont="1" applyFill="1" applyBorder="1" applyAlignment="1" applyProtection="1">
      <alignment horizontal="right" vertical="center"/>
      <protection locked="0"/>
    </xf>
    <xf numFmtId="2" fontId="143" fillId="56" borderId="152" xfId="8" applyNumberFormat="1" applyFont="1" applyFill="1" applyBorder="1" applyAlignment="1" applyProtection="1">
      <alignment horizontal="right" vertical="center"/>
      <protection locked="0"/>
    </xf>
    <xf numFmtId="2" fontId="143" fillId="0" borderId="0" xfId="8" applyNumberFormat="1" applyFont="1" applyAlignment="1">
      <alignment horizontal="right" vertical="center"/>
    </xf>
    <xf numFmtId="0" fontId="143" fillId="0" borderId="0" xfId="8" applyFont="1" applyAlignment="1">
      <alignment horizontal="center"/>
    </xf>
    <xf numFmtId="0" fontId="147" fillId="0" borderId="0" xfId="8" applyFont="1"/>
    <xf numFmtId="0" fontId="148" fillId="0" borderId="0" xfId="8" applyFont="1"/>
    <xf numFmtId="0" fontId="149" fillId="55" borderId="194" xfId="8" applyFont="1" applyFill="1" applyBorder="1"/>
    <xf numFmtId="0" fontId="149" fillId="55" borderId="19" xfId="8" applyFont="1" applyFill="1" applyBorder="1"/>
    <xf numFmtId="0" fontId="144" fillId="54" borderId="195" xfId="8" applyFont="1" applyFill="1" applyBorder="1"/>
    <xf numFmtId="0" fontId="143" fillId="0" borderId="0" xfId="8" applyFont="1"/>
    <xf numFmtId="0" fontId="151" fillId="18" borderId="8" xfId="71" applyFont="1" applyFill="1" applyBorder="1" applyAlignment="1">
      <alignment horizontal="center" vertical="center"/>
    </xf>
    <xf numFmtId="0" fontId="136" fillId="0" borderId="19" xfId="71" applyFont="1" applyBorder="1" applyAlignment="1">
      <alignment horizontal="center" vertical="center"/>
    </xf>
    <xf numFmtId="0" fontId="136" fillId="0" borderId="99" xfId="71" applyFont="1" applyBorder="1" applyAlignment="1">
      <alignment horizontal="center" vertical="center"/>
    </xf>
    <xf numFmtId="0" fontId="151" fillId="18" borderId="16" xfId="71" applyFont="1" applyFill="1" applyBorder="1" applyAlignment="1">
      <alignment horizontal="center" vertical="center"/>
    </xf>
    <xf numFmtId="0" fontId="136" fillId="0" borderId="7" xfId="71" applyFont="1" applyBorder="1" applyAlignment="1">
      <alignment horizontal="center" vertical="center"/>
    </xf>
    <xf numFmtId="0" fontId="136" fillId="0" borderId="18" xfId="71" applyFont="1" applyBorder="1" applyAlignment="1">
      <alignment horizontal="center" vertical="center"/>
    </xf>
    <xf numFmtId="0" fontId="152" fillId="0" borderId="0" xfId="8" applyFont="1"/>
    <xf numFmtId="0" fontId="153" fillId="0" borderId="0" xfId="8" applyFont="1" applyAlignment="1">
      <alignment horizontal="justify"/>
    </xf>
    <xf numFmtId="0" fontId="132" fillId="0" borderId="0" xfId="8" applyFont="1" applyAlignment="1">
      <alignment horizontal="justify"/>
    </xf>
    <xf numFmtId="0" fontId="144" fillId="54" borderId="154" xfId="8" applyFont="1" applyFill="1" applyBorder="1" applyAlignment="1">
      <alignment horizontal="center" vertical="center" wrapText="1"/>
    </xf>
    <xf numFmtId="0" fontId="154" fillId="55" borderId="150" xfId="8" applyFont="1" applyFill="1" applyBorder="1" applyAlignment="1">
      <alignment vertical="center"/>
    </xf>
    <xf numFmtId="0" fontId="144" fillId="55" borderId="55" xfId="8" applyFont="1" applyFill="1" applyBorder="1" applyAlignment="1">
      <alignment vertical="center"/>
    </xf>
    <xf numFmtId="0" fontId="143" fillId="55" borderId="25" xfId="8" applyFont="1" applyFill="1" applyBorder="1" applyAlignment="1">
      <alignment vertical="center"/>
    </xf>
    <xf numFmtId="0" fontId="143" fillId="55" borderId="87" xfId="8" applyFont="1" applyFill="1" applyBorder="1" applyAlignment="1">
      <alignment vertical="center"/>
    </xf>
    <xf numFmtId="0" fontId="143" fillId="55" borderId="127" xfId="8" applyFont="1" applyFill="1" applyBorder="1" applyAlignment="1">
      <alignment vertical="center"/>
    </xf>
    <xf numFmtId="0" fontId="143" fillId="55" borderId="155" xfId="8" applyFont="1" applyFill="1" applyBorder="1" applyAlignment="1">
      <alignment vertical="center"/>
    </xf>
    <xf numFmtId="0" fontId="143" fillId="55" borderId="151" xfId="8" applyFont="1" applyFill="1" applyBorder="1" applyAlignment="1">
      <alignment vertical="center"/>
    </xf>
    <xf numFmtId="0" fontId="146" fillId="0" borderId="143" xfId="8" applyFont="1" applyBorder="1"/>
    <xf numFmtId="0" fontId="146" fillId="0" borderId="143" xfId="8" applyFont="1" applyBorder="1" applyAlignment="1">
      <alignment vertical="top" wrapText="1"/>
    </xf>
    <xf numFmtId="0" fontId="146" fillId="0" borderId="143" xfId="8" applyFont="1" applyBorder="1" applyAlignment="1">
      <alignment wrapText="1"/>
    </xf>
    <xf numFmtId="0" fontId="144" fillId="54" borderId="156" xfId="8" applyFont="1" applyFill="1" applyBorder="1" applyAlignment="1">
      <alignment wrapText="1"/>
    </xf>
    <xf numFmtId="2" fontId="147" fillId="56" borderId="80" xfId="8" applyNumberFormat="1" applyFont="1" applyFill="1" applyBorder="1" applyAlignment="1" applyProtection="1">
      <alignment horizontal="right" vertical="center"/>
      <protection locked="0"/>
    </xf>
    <xf numFmtId="2" fontId="143" fillId="55" borderId="55" xfId="8" applyNumberFormat="1" applyFont="1" applyFill="1" applyBorder="1" applyAlignment="1">
      <alignment horizontal="right" vertical="center"/>
    </xf>
    <xf numFmtId="2" fontId="143" fillId="55" borderId="25" xfId="8" applyNumberFormat="1" applyFont="1" applyFill="1" applyBorder="1" applyAlignment="1">
      <alignment horizontal="right" vertical="center"/>
    </xf>
    <xf numFmtId="2" fontId="143" fillId="55" borderId="85" xfId="8" applyNumberFormat="1" applyFont="1" applyFill="1" applyBorder="1" applyAlignment="1">
      <alignment horizontal="right" vertical="center"/>
    </xf>
    <xf numFmtId="2" fontId="143" fillId="55" borderId="158" xfId="8" applyNumberFormat="1" applyFont="1" applyFill="1" applyBorder="1" applyAlignment="1">
      <alignment horizontal="right" vertical="center"/>
    </xf>
    <xf numFmtId="0" fontId="144" fillId="54" borderId="148" xfId="8" applyFont="1" applyFill="1" applyBorder="1"/>
    <xf numFmtId="0" fontId="154" fillId="55" borderId="151" xfId="8" applyFont="1" applyFill="1" applyBorder="1" applyAlignment="1">
      <alignment vertical="center"/>
    </xf>
    <xf numFmtId="0" fontId="143" fillId="55" borderId="159" xfId="8" applyFont="1" applyFill="1" applyBorder="1" applyAlignment="1">
      <alignment horizontal="right" vertical="center"/>
    </xf>
    <xf numFmtId="0" fontId="143" fillId="55" borderId="25" xfId="8" applyFont="1" applyFill="1" applyBorder="1" applyAlignment="1">
      <alignment horizontal="right" vertical="center"/>
    </xf>
    <xf numFmtId="0" fontId="143" fillId="55" borderId="85" xfId="8" applyFont="1" applyFill="1" applyBorder="1" applyAlignment="1">
      <alignment horizontal="right" vertical="center"/>
    </xf>
    <xf numFmtId="0" fontId="143" fillId="55" borderId="158" xfId="8" applyFont="1" applyFill="1" applyBorder="1" applyAlignment="1">
      <alignment horizontal="right" vertical="center"/>
    </xf>
    <xf numFmtId="0" fontId="146" fillId="59" borderId="143" xfId="8" applyFont="1" applyFill="1" applyBorder="1" applyAlignment="1">
      <alignment vertical="center"/>
    </xf>
    <xf numFmtId="0" fontId="146" fillId="0" borderId="143" xfId="8" applyFont="1" applyBorder="1" applyAlignment="1">
      <alignment vertical="center"/>
    </xf>
    <xf numFmtId="0" fontId="153" fillId="54" borderId="153" xfId="8" applyFont="1" applyFill="1" applyBorder="1"/>
    <xf numFmtId="2" fontId="143" fillId="56" borderId="165" xfId="8" applyNumberFormat="1" applyFont="1" applyFill="1" applyBorder="1" applyAlignment="1" applyProtection="1">
      <alignment horizontal="right" vertical="center"/>
      <protection locked="0"/>
    </xf>
    <xf numFmtId="2" fontId="143" fillId="56" borderId="136" xfId="8" applyNumberFormat="1" applyFont="1" applyFill="1" applyBorder="1" applyAlignment="1" applyProtection="1">
      <alignment horizontal="right" vertical="center"/>
      <protection locked="0"/>
    </xf>
    <xf numFmtId="0" fontId="132" fillId="0" borderId="0" xfId="8" applyFont="1" applyAlignment="1">
      <alignment horizontal="right" vertical="center"/>
    </xf>
    <xf numFmtId="0" fontId="152" fillId="0" borderId="0" xfId="8" applyFont="1" applyAlignment="1">
      <alignment horizontal="right" vertical="center"/>
    </xf>
    <xf numFmtId="0" fontId="153" fillId="0" borderId="123" xfId="8" applyFont="1" applyBorder="1" applyAlignment="1">
      <alignment horizontal="justify" vertical="center"/>
    </xf>
    <xf numFmtId="0" fontId="147" fillId="56" borderId="152" xfId="8" applyFont="1" applyFill="1" applyBorder="1" applyAlignment="1" applyProtection="1">
      <alignment horizontal="right" vertical="center"/>
      <protection locked="0"/>
    </xf>
    <xf numFmtId="0" fontId="147" fillId="56" borderId="166" xfId="8" applyFont="1" applyFill="1" applyBorder="1" applyAlignment="1" applyProtection="1">
      <alignment horizontal="right" vertical="center"/>
      <protection locked="0"/>
    </xf>
    <xf numFmtId="0" fontId="147" fillId="56" borderId="124" xfId="8" applyFont="1" applyFill="1" applyBorder="1" applyAlignment="1" applyProtection="1">
      <alignment horizontal="right" vertical="center"/>
      <protection locked="0"/>
    </xf>
    <xf numFmtId="0" fontId="147" fillId="56" borderId="167" xfId="8" applyFont="1" applyFill="1" applyBorder="1" applyAlignment="1" applyProtection="1">
      <alignment horizontal="right" vertical="center"/>
      <protection locked="0"/>
    </xf>
    <xf numFmtId="0" fontId="147" fillId="56" borderId="125" xfId="8" applyFont="1" applyFill="1" applyBorder="1" applyAlignment="1" applyProtection="1">
      <alignment horizontal="right" vertical="center"/>
      <protection locked="0"/>
    </xf>
    <xf numFmtId="0" fontId="144" fillId="0" borderId="153" xfId="8" applyFont="1" applyBorder="1" applyAlignment="1">
      <alignment wrapText="1"/>
    </xf>
    <xf numFmtId="0" fontId="147" fillId="0" borderId="125" xfId="8" applyFont="1" applyBorder="1" applyAlignment="1" applyProtection="1">
      <alignment horizontal="right" vertical="center"/>
      <protection locked="0"/>
    </xf>
    <xf numFmtId="0" fontId="141" fillId="0" borderId="122" xfId="8" applyFont="1" applyBorder="1" applyAlignment="1">
      <alignment horizontal="right" vertical="center"/>
    </xf>
    <xf numFmtId="0" fontId="141" fillId="0" borderId="0" xfId="8" applyFont="1" applyAlignment="1">
      <alignment horizontal="right" vertical="center"/>
    </xf>
    <xf numFmtId="2" fontId="152" fillId="0" borderId="0" xfId="8" applyNumberFormat="1" applyFont="1" applyAlignment="1">
      <alignment horizontal="right" vertical="center"/>
    </xf>
    <xf numFmtId="0" fontId="144" fillId="0" borderId="0" xfId="8" applyFont="1" applyAlignment="1">
      <alignment wrapText="1"/>
    </xf>
    <xf numFmtId="0" fontId="147" fillId="0" borderId="0" xfId="8" applyFont="1" applyAlignment="1" applyProtection="1">
      <alignment horizontal="right" vertical="center"/>
      <protection locked="0"/>
    </xf>
    <xf numFmtId="0" fontId="144" fillId="54" borderId="156" xfId="8" applyFont="1" applyFill="1" applyBorder="1"/>
    <xf numFmtId="2" fontId="143" fillId="55" borderId="159" xfId="8" applyNumberFormat="1" applyFont="1" applyFill="1" applyBorder="1" applyAlignment="1">
      <alignment horizontal="right" vertical="center"/>
    </xf>
    <xf numFmtId="0" fontId="155" fillId="0" borderId="0" xfId="8" applyFont="1"/>
    <xf numFmtId="0" fontId="153" fillId="0" borderId="0" xfId="8" applyFont="1"/>
    <xf numFmtId="0" fontId="142" fillId="0" borderId="0" xfId="8" applyFont="1" applyAlignment="1">
      <alignment horizontal="justify" vertical="center" wrapText="1"/>
    </xf>
    <xf numFmtId="0" fontId="144" fillId="54" borderId="172" xfId="8" applyFont="1" applyFill="1" applyBorder="1" applyAlignment="1">
      <alignment horizontal="center" vertical="center" wrapText="1"/>
    </xf>
    <xf numFmtId="0" fontId="144" fillId="54" borderId="173" xfId="8" applyFont="1" applyFill="1" applyBorder="1" applyAlignment="1">
      <alignment horizontal="center" vertical="center" wrapText="1"/>
    </xf>
    <xf numFmtId="0" fontId="144" fillId="54" borderId="174" xfId="8" applyFont="1" applyFill="1" applyBorder="1" applyAlignment="1">
      <alignment horizontal="center" vertical="center" wrapText="1"/>
    </xf>
    <xf numFmtId="0" fontId="144" fillId="0" borderId="176" xfId="8" applyFont="1" applyBorder="1" applyAlignment="1">
      <alignment horizontal="center"/>
    </xf>
    <xf numFmtId="0" fontId="147" fillId="0" borderId="128" xfId="8" applyFont="1" applyBorder="1" applyAlignment="1" applyProtection="1">
      <alignment horizontal="right" vertical="center"/>
      <protection locked="0"/>
    </xf>
    <xf numFmtId="0" fontId="152" fillId="60" borderId="112" xfId="8" applyFont="1" applyFill="1" applyBorder="1" applyAlignment="1">
      <alignment horizontal="right" vertical="center"/>
    </xf>
    <xf numFmtId="0" fontId="143" fillId="56" borderId="176" xfId="8" applyFont="1" applyFill="1" applyBorder="1" applyAlignment="1" applyProtection="1">
      <alignment horizontal="right" vertical="center"/>
      <protection locked="0"/>
    </xf>
    <xf numFmtId="0" fontId="144" fillId="0" borderId="143" xfId="8" applyFont="1" applyBorder="1" applyAlignment="1">
      <alignment horizontal="center"/>
    </xf>
    <xf numFmtId="0" fontId="147" fillId="0" borderId="93" xfId="8" applyFont="1" applyBorder="1" applyAlignment="1" applyProtection="1">
      <alignment horizontal="right" vertical="center"/>
      <protection locked="0"/>
    </xf>
    <xf numFmtId="0" fontId="143" fillId="56" borderId="143" xfId="8" applyFont="1" applyFill="1" applyBorder="1" applyAlignment="1" applyProtection="1">
      <alignment horizontal="right" vertical="center"/>
      <protection locked="0"/>
    </xf>
    <xf numFmtId="0" fontId="152" fillId="0" borderId="182" xfId="8" applyFont="1" applyBorder="1" applyAlignment="1" applyProtection="1">
      <alignment horizontal="right" vertical="center"/>
      <protection locked="0"/>
    </xf>
    <xf numFmtId="0" fontId="152" fillId="0" borderId="105" xfId="8" applyFont="1" applyBorder="1" applyAlignment="1" applyProtection="1">
      <alignment horizontal="right" vertical="center"/>
      <protection locked="0"/>
    </xf>
    <xf numFmtId="0" fontId="147" fillId="0" borderId="105" xfId="8" applyFont="1" applyBorder="1" applyAlignment="1" applyProtection="1">
      <alignment horizontal="right" vertical="center" wrapText="1"/>
      <protection locked="0"/>
    </xf>
    <xf numFmtId="0" fontId="152" fillId="0" borderId="106" xfId="8" applyFont="1" applyBorder="1" applyAlignment="1" applyProtection="1">
      <alignment horizontal="right" vertical="center"/>
      <protection locked="0"/>
    </xf>
    <xf numFmtId="0" fontId="152" fillId="0" borderId="115" xfId="8" applyFont="1" applyBorder="1" applyAlignment="1" applyProtection="1">
      <alignment horizontal="right" vertical="center"/>
      <protection locked="0"/>
    </xf>
    <xf numFmtId="0" fontId="152" fillId="0" borderId="141" xfId="8" applyFont="1" applyBorder="1" applyAlignment="1" applyProtection="1">
      <alignment horizontal="right" vertical="center"/>
      <protection locked="0"/>
    </xf>
    <xf numFmtId="0" fontId="144" fillId="0" borderId="143" xfId="8" applyFont="1" applyBorder="1" applyAlignment="1" applyProtection="1">
      <alignment horizontal="center" wrapText="1"/>
      <protection locked="0"/>
    </xf>
    <xf numFmtId="0" fontId="147" fillId="0" borderId="161" xfId="8" applyFont="1" applyBorder="1" applyAlignment="1" applyProtection="1">
      <alignment horizontal="right" vertical="center"/>
      <protection locked="0"/>
    </xf>
    <xf numFmtId="0" fontId="152" fillId="0" borderId="183" xfId="8" applyFont="1" applyBorder="1" applyAlignment="1" applyProtection="1">
      <alignment horizontal="right" vertical="center"/>
      <protection locked="0"/>
    </xf>
    <xf numFmtId="0" fontId="152" fillId="0" borderId="108" xfId="8" applyFont="1" applyBorder="1" applyAlignment="1" applyProtection="1">
      <alignment horizontal="right" vertical="center"/>
      <protection locked="0"/>
    </xf>
    <xf numFmtId="0" fontId="152" fillId="0" borderId="184" xfId="8" applyFont="1" applyBorder="1" applyAlignment="1" applyProtection="1">
      <alignment horizontal="right" vertical="center"/>
      <protection locked="0"/>
    </xf>
    <xf numFmtId="0" fontId="152" fillId="0" borderId="96" xfId="8" applyFont="1" applyBorder="1" applyAlignment="1" applyProtection="1">
      <alignment horizontal="right" vertical="center"/>
      <protection locked="0"/>
    </xf>
    <xf numFmtId="0" fontId="152" fillId="0" borderId="135" xfId="8" applyFont="1" applyBorder="1" applyAlignment="1" applyProtection="1">
      <alignment horizontal="right" vertical="center"/>
      <protection locked="0"/>
    </xf>
    <xf numFmtId="0" fontId="152" fillId="0" borderId="185" xfId="8" applyFont="1" applyBorder="1" applyAlignment="1" applyProtection="1">
      <alignment horizontal="right" vertical="center"/>
      <protection locked="0"/>
    </xf>
    <xf numFmtId="0" fontId="143" fillId="56" borderId="186" xfId="8" applyFont="1" applyFill="1" applyBorder="1" applyAlignment="1" applyProtection="1">
      <alignment horizontal="right" vertical="center"/>
      <protection locked="0"/>
    </xf>
    <xf numFmtId="0" fontId="144" fillId="54" borderId="131" xfId="8" applyFont="1" applyFill="1" applyBorder="1" applyAlignment="1">
      <alignment horizontal="center"/>
    </xf>
    <xf numFmtId="0" fontId="147" fillId="56" borderId="123" xfId="8" applyFont="1" applyFill="1" applyBorder="1" applyAlignment="1" applyProtection="1">
      <alignment horizontal="right" vertical="center"/>
      <protection locked="0"/>
    </xf>
    <xf numFmtId="0" fontId="143" fillId="56" borderId="152" xfId="8" applyFont="1" applyFill="1" applyBorder="1" applyAlignment="1" applyProtection="1">
      <alignment horizontal="right" vertical="center"/>
      <protection locked="0"/>
    </xf>
    <xf numFmtId="0" fontId="143" fillId="56" borderId="125" xfId="8" applyFont="1" applyFill="1" applyBorder="1" applyAlignment="1" applyProtection="1">
      <alignment horizontal="right" vertical="center"/>
      <protection locked="0"/>
    </xf>
    <xf numFmtId="0" fontId="152" fillId="0" borderId="122" xfId="8" applyFont="1" applyBorder="1" applyAlignment="1">
      <alignment horizontal="right" vertical="center"/>
    </xf>
    <xf numFmtId="0" fontId="152" fillId="0" borderId="112" xfId="8" applyFont="1" applyBorder="1" applyAlignment="1">
      <alignment horizontal="right" vertical="center"/>
    </xf>
    <xf numFmtId="0" fontId="143" fillId="0" borderId="112" xfId="8" applyFont="1" applyBorder="1" applyAlignment="1">
      <alignment horizontal="justify"/>
    </xf>
    <xf numFmtId="0" fontId="143" fillId="0" borderId="0" xfId="8" applyFont="1" applyAlignment="1">
      <alignment horizontal="justify"/>
    </xf>
    <xf numFmtId="0" fontId="152" fillId="0" borderId="112" xfId="8" applyFont="1" applyBorder="1"/>
    <xf numFmtId="0" fontId="159" fillId="0" borderId="105" xfId="0" applyFont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0" fontId="125" fillId="0" borderId="0" xfId="0" applyFont="1" applyAlignment="1">
      <alignment horizontal="center" vertical="center" wrapText="1"/>
    </xf>
    <xf numFmtId="0" fontId="1" fillId="0" borderId="78" xfId="0" applyFont="1" applyBorder="1"/>
    <xf numFmtId="0" fontId="125" fillId="0" borderId="78" xfId="0" applyFont="1" applyBorder="1" applyAlignment="1">
      <alignment horizontal="center" vertical="center" wrapText="1"/>
    </xf>
    <xf numFmtId="0" fontId="161" fillId="18" borderId="8" xfId="71" applyFont="1" applyFill="1" applyBorder="1" applyAlignment="1">
      <alignment horizontal="center" vertical="center"/>
    </xf>
    <xf numFmtId="0" fontId="125" fillId="0" borderId="19" xfId="71" applyFont="1" applyBorder="1" applyAlignment="1">
      <alignment horizontal="center" vertical="center"/>
    </xf>
    <xf numFmtId="0" fontId="125" fillId="0" borderId="99" xfId="71" applyFont="1" applyBorder="1" applyAlignment="1">
      <alignment horizontal="center" vertical="center"/>
    </xf>
    <xf numFmtId="0" fontId="56" fillId="0" borderId="78" xfId="0" applyFont="1" applyBorder="1" applyAlignment="1">
      <alignment horizontal="center" vertical="center" wrapText="1"/>
    </xf>
    <xf numFmtId="2" fontId="56" fillId="0" borderId="78" xfId="0" applyNumberFormat="1" applyFont="1" applyBorder="1" applyAlignment="1">
      <alignment horizontal="center" vertical="center" wrapText="1"/>
    </xf>
    <xf numFmtId="0" fontId="161" fillId="18" borderId="16" xfId="71" applyFont="1" applyFill="1" applyBorder="1" applyAlignment="1">
      <alignment horizontal="center" vertical="center"/>
    </xf>
    <xf numFmtId="0" fontId="125" fillId="0" borderId="7" xfId="71" applyFont="1" applyBorder="1" applyAlignment="1">
      <alignment horizontal="center" vertical="center"/>
    </xf>
    <xf numFmtId="0" fontId="125" fillId="0" borderId="18" xfId="71" applyFont="1" applyBorder="1" applyAlignment="1">
      <alignment horizontal="center" vertical="center"/>
    </xf>
    <xf numFmtId="165" fontId="125" fillId="0" borderId="78" xfId="0" applyNumberFormat="1" applyFont="1" applyBorder="1" applyAlignment="1">
      <alignment horizontal="center" vertical="center"/>
    </xf>
    <xf numFmtId="2" fontId="125" fillId="0" borderId="78" xfId="0" applyNumberFormat="1" applyFont="1" applyBorder="1" applyAlignment="1">
      <alignment horizontal="center" vertical="center"/>
    </xf>
    <xf numFmtId="2" fontId="125" fillId="0" borderId="78" xfId="0" applyNumberFormat="1" applyFont="1" applyBorder="1" applyAlignment="1">
      <alignment horizontal="center" vertical="center" wrapText="1"/>
    </xf>
    <xf numFmtId="0" fontId="56" fillId="0" borderId="105" xfId="0" applyFont="1" applyBorder="1" applyAlignment="1">
      <alignment horizontal="center" vertical="center" wrapText="1"/>
    </xf>
    <xf numFmtId="0" fontId="125" fillId="0" borderId="105" xfId="0" applyFont="1" applyBorder="1" applyAlignment="1">
      <alignment horizontal="center" vertical="center" wrapText="1"/>
    </xf>
    <xf numFmtId="165" fontId="125" fillId="0" borderId="105" xfId="0" applyNumberFormat="1" applyFont="1" applyBorder="1" applyAlignment="1">
      <alignment horizontal="center" vertical="center"/>
    </xf>
    <xf numFmtId="2" fontId="125" fillId="0" borderId="105" xfId="0" applyNumberFormat="1" applyFont="1" applyBorder="1" applyAlignment="1">
      <alignment horizontal="center" vertical="center"/>
    </xf>
    <xf numFmtId="2" fontId="125" fillId="0" borderId="105" xfId="0" applyNumberFormat="1" applyFont="1" applyBorder="1" applyAlignment="1">
      <alignment horizontal="center" vertical="center" wrapText="1"/>
    </xf>
    <xf numFmtId="2" fontId="163" fillId="0" borderId="78" xfId="0" applyNumberFormat="1" applyFont="1" applyBorder="1" applyAlignment="1">
      <alignment horizontal="center" vertical="center"/>
    </xf>
    <xf numFmtId="2" fontId="163" fillId="0" borderId="78" xfId="0" applyNumberFormat="1" applyFont="1" applyBorder="1" applyAlignment="1">
      <alignment horizontal="center" vertical="center" wrapText="1"/>
    </xf>
    <xf numFmtId="0" fontId="163" fillId="0" borderId="78" xfId="0" applyFont="1" applyBorder="1" applyAlignment="1">
      <alignment horizontal="center" vertical="center" wrapText="1"/>
    </xf>
    <xf numFmtId="165" fontId="125" fillId="0" borderId="78" xfId="0" applyNumberFormat="1" applyFont="1" applyBorder="1" applyAlignment="1">
      <alignment horizontal="center" vertical="center" wrapText="1"/>
    </xf>
    <xf numFmtId="0" fontId="163" fillId="0" borderId="105" xfId="0" applyFont="1" applyBorder="1" applyAlignment="1">
      <alignment horizontal="center" vertical="center" wrapText="1"/>
    </xf>
    <xf numFmtId="165" fontId="125" fillId="0" borderId="105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44" fontId="1" fillId="0" borderId="0" xfId="0" applyNumberFormat="1" applyFont="1"/>
    <xf numFmtId="0" fontId="56" fillId="0" borderId="88" xfId="0" applyFont="1" applyBorder="1" applyAlignment="1">
      <alignment horizontal="center" vertical="center" wrapText="1"/>
    </xf>
    <xf numFmtId="165" fontId="19" fillId="0" borderId="0" xfId="0" applyNumberFormat="1" applyFont="1"/>
    <xf numFmtId="2" fontId="56" fillId="0" borderId="31" xfId="0" applyNumberFormat="1" applyFont="1" applyBorder="1" applyAlignment="1">
      <alignment horizontal="center"/>
    </xf>
    <xf numFmtId="2" fontId="125" fillId="0" borderId="0" xfId="0" applyNumberFormat="1" applyFont="1" applyAlignment="1">
      <alignment horizontal="center" vertical="center" wrapText="1"/>
    </xf>
    <xf numFmtId="0" fontId="164" fillId="0" borderId="78" xfId="0" applyFont="1" applyBorder="1" applyAlignment="1">
      <alignment horizontal="center" vertical="center" wrapText="1"/>
    </xf>
    <xf numFmtId="0" fontId="159" fillId="0" borderId="78" xfId="0" applyFont="1" applyBorder="1" applyAlignment="1">
      <alignment horizontal="center" vertical="center" wrapText="1"/>
    </xf>
    <xf numFmtId="0" fontId="63" fillId="2" borderId="0" xfId="0" applyFont="1" applyFill="1" applyAlignment="1">
      <alignment horizontal="left" wrapText="1"/>
    </xf>
    <xf numFmtId="2" fontId="63" fillId="2" borderId="105" xfId="0" applyNumberFormat="1" applyFont="1" applyFill="1" applyBorder="1" applyAlignment="1">
      <alignment horizontal="center"/>
    </xf>
    <xf numFmtId="0" fontId="69" fillId="2" borderId="0" xfId="0" applyFont="1" applyFill="1" applyAlignment="1">
      <alignment horizontal="center"/>
    </xf>
    <xf numFmtId="0" fontId="99" fillId="0" borderId="105" xfId="0" applyFont="1" applyBorder="1" applyAlignment="1">
      <alignment horizontal="center" vertical="center" wrapText="1"/>
    </xf>
    <xf numFmtId="3" fontId="99" fillId="0" borderId="105" xfId="0" applyNumberFormat="1" applyFont="1" applyBorder="1" applyAlignment="1">
      <alignment horizontal="center" vertical="center" wrapText="1"/>
    </xf>
    <xf numFmtId="10" fontId="63" fillId="2" borderId="105" xfId="0" applyNumberFormat="1" applyFont="1" applyFill="1" applyBorder="1" applyAlignment="1">
      <alignment horizontal="center"/>
    </xf>
    <xf numFmtId="0" fontId="69" fillId="2" borderId="105" xfId="0" applyFont="1" applyFill="1" applyBorder="1"/>
    <xf numFmtId="1" fontId="69" fillId="2" borderId="0" xfId="0" applyNumberFormat="1" applyFont="1" applyFill="1"/>
    <xf numFmtId="1" fontId="69" fillId="2" borderId="105" xfId="0" applyNumberFormat="1" applyFont="1" applyFill="1" applyBorder="1" applyAlignment="1">
      <alignment horizontal="center"/>
    </xf>
    <xf numFmtId="177" fontId="69" fillId="2" borderId="105" xfId="0" applyNumberFormat="1" applyFont="1" applyFill="1" applyBorder="1"/>
    <xf numFmtId="0" fontId="69" fillId="2" borderId="105" xfId="0" applyFont="1" applyFill="1" applyBorder="1" applyAlignment="1">
      <alignment horizontal="right"/>
    </xf>
    <xf numFmtId="2" fontId="69" fillId="2" borderId="105" xfId="0" applyNumberFormat="1" applyFont="1" applyFill="1" applyBorder="1"/>
    <xf numFmtId="4" fontId="26" fillId="12" borderId="0" xfId="13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4" fontId="13" fillId="2" borderId="0" xfId="0" applyNumberFormat="1" applyFont="1" applyFill="1" applyAlignment="1">
      <alignment horizontal="center" vertical="center"/>
    </xf>
    <xf numFmtId="4" fontId="27" fillId="0" borderId="0" xfId="13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vertical="center"/>
    </xf>
    <xf numFmtId="172" fontId="13" fillId="2" borderId="0" xfId="0" applyNumberFormat="1" applyFont="1" applyFill="1" applyAlignment="1">
      <alignment vertical="center"/>
    </xf>
    <xf numFmtId="0" fontId="73" fillId="66" borderId="105" xfId="0" applyFont="1" applyFill="1" applyBorder="1" applyAlignment="1">
      <alignment horizontal="center" vertical="center" wrapText="1"/>
    </xf>
    <xf numFmtId="0" fontId="73" fillId="52" borderId="105" xfId="0" applyFont="1" applyFill="1" applyBorder="1" applyAlignment="1">
      <alignment vertical="center" wrapText="1"/>
    </xf>
    <xf numFmtId="0" fontId="73" fillId="52" borderId="105" xfId="0" applyFont="1" applyFill="1" applyBorder="1" applyAlignment="1">
      <alignment horizontal="center" vertical="center" wrapText="1"/>
    </xf>
    <xf numFmtId="0" fontId="74" fillId="52" borderId="105" xfId="0" applyFont="1" applyFill="1" applyBorder="1" applyAlignment="1">
      <alignment horizontal="center" vertical="center" wrapText="1"/>
    </xf>
    <xf numFmtId="3" fontId="74" fillId="52" borderId="105" xfId="0" applyNumberFormat="1" applyFont="1" applyFill="1" applyBorder="1" applyAlignment="1">
      <alignment horizontal="center" vertical="center" wrapText="1"/>
    </xf>
    <xf numFmtId="0" fontId="29" fillId="52" borderId="105" xfId="0" applyFont="1" applyFill="1" applyBorder="1" applyAlignment="1">
      <alignment horizontal="center" vertical="center" wrapText="1"/>
    </xf>
    <xf numFmtId="4" fontId="73" fillId="52" borderId="105" xfId="0" applyNumberFormat="1" applyFont="1" applyFill="1" applyBorder="1" applyAlignment="1">
      <alignment horizontal="center" vertical="center" wrapText="1"/>
    </xf>
    <xf numFmtId="0" fontId="166" fillId="52" borderId="105" xfId="0" applyFont="1" applyFill="1" applyBorder="1" applyAlignment="1">
      <alignment horizontal="center" vertical="center" wrapText="1"/>
    </xf>
    <xf numFmtId="0" fontId="167" fillId="52" borderId="105" xfId="0" applyFont="1" applyFill="1" applyBorder="1" applyAlignment="1">
      <alignment horizontal="center" vertical="center" wrapText="1"/>
    </xf>
    <xf numFmtId="3" fontId="167" fillId="52" borderId="105" xfId="0" applyNumberFormat="1" applyFont="1" applyFill="1" applyBorder="1" applyAlignment="1">
      <alignment horizontal="center" vertical="center" wrapText="1"/>
    </xf>
    <xf numFmtId="2" fontId="167" fillId="52" borderId="105" xfId="0" applyNumberFormat="1" applyFont="1" applyFill="1" applyBorder="1" applyAlignment="1">
      <alignment horizontal="center" vertical="center" wrapText="1"/>
    </xf>
    <xf numFmtId="0" fontId="166" fillId="0" borderId="105" xfId="0" applyFont="1" applyBorder="1" applyAlignment="1">
      <alignment horizontal="center" vertical="center" wrapText="1"/>
    </xf>
    <xf numFmtId="0" fontId="0" fillId="0" borderId="105" xfId="0" applyBorder="1" applyAlignment="1">
      <alignment horizontal="center"/>
    </xf>
    <xf numFmtId="10" fontId="75" fillId="0" borderId="102" xfId="71" applyNumberFormat="1" applyFont="1" applyBorder="1" applyAlignment="1">
      <alignment horizontal="center" vertical="center"/>
    </xf>
    <xf numFmtId="0" fontId="146" fillId="0" borderId="143" xfId="8" applyFont="1" applyBorder="1" applyAlignment="1">
      <alignment horizontal="left"/>
    </xf>
    <xf numFmtId="4" fontId="147" fillId="0" borderId="130" xfId="13" applyNumberFormat="1" applyFont="1" applyBorder="1" applyAlignment="1" applyProtection="1">
      <alignment horizontal="right" vertical="center"/>
      <protection locked="0"/>
    </xf>
    <xf numFmtId="4" fontId="147" fillId="0" borderId="143" xfId="13" applyNumberFormat="1" applyFont="1" applyBorder="1" applyAlignment="1" applyProtection="1">
      <alignment horizontal="right" vertical="center"/>
      <protection locked="0"/>
    </xf>
    <xf numFmtId="4" fontId="147" fillId="0" borderId="148" xfId="13" applyNumberFormat="1" applyFont="1" applyBorder="1" applyAlignment="1" applyProtection="1">
      <alignment horizontal="right" vertical="center"/>
      <protection locked="0"/>
    </xf>
    <xf numFmtId="4" fontId="147" fillId="56" borderId="149" xfId="13" applyNumberFormat="1" applyFont="1" applyFill="1" applyBorder="1" applyAlignment="1" applyProtection="1">
      <alignment horizontal="right" vertical="center"/>
      <protection locked="0"/>
    </xf>
    <xf numFmtId="4" fontId="147" fillId="55" borderId="150" xfId="13" applyNumberFormat="1" applyFont="1" applyFill="1" applyBorder="1" applyAlignment="1">
      <alignment horizontal="right" vertical="center"/>
    </xf>
    <xf numFmtId="4" fontId="147" fillId="0" borderId="115" xfId="13" applyNumberFormat="1" applyFont="1" applyBorder="1" applyAlignment="1" applyProtection="1">
      <alignment horizontal="right" vertical="center"/>
      <protection locked="0"/>
    </xf>
    <xf numFmtId="4" fontId="147" fillId="56" borderId="145" xfId="13" applyNumberFormat="1" applyFont="1" applyFill="1" applyBorder="1" applyAlignment="1" applyProtection="1">
      <alignment horizontal="right" vertical="center"/>
      <protection locked="0"/>
    </xf>
    <xf numFmtId="4" fontId="143" fillId="56" borderId="152" xfId="13" applyNumberFormat="1" applyFont="1" applyFill="1" applyBorder="1" applyAlignment="1" applyProtection="1">
      <alignment horizontal="right" vertical="center"/>
      <protection locked="0"/>
    </xf>
    <xf numFmtId="4" fontId="147" fillId="56" borderId="157" xfId="8" applyNumberFormat="1" applyFont="1" applyFill="1" applyBorder="1" applyAlignment="1" applyProtection="1">
      <alignment horizontal="right" vertical="center"/>
      <protection locked="0"/>
    </xf>
    <xf numFmtId="4" fontId="143" fillId="55" borderId="150" xfId="8" applyNumberFormat="1" applyFont="1" applyFill="1" applyBorder="1" applyAlignment="1">
      <alignment horizontal="right" vertical="center"/>
    </xf>
    <xf numFmtId="4" fontId="143" fillId="59" borderId="143" xfId="8" applyNumberFormat="1" applyFont="1" applyFill="1" applyBorder="1" applyAlignment="1" applyProtection="1">
      <alignment horizontal="right" vertical="center"/>
      <protection locked="0"/>
    </xf>
    <xf numFmtId="4" fontId="143" fillId="0" borderId="143" xfId="8" applyNumberFormat="1" applyFont="1" applyBorder="1" applyAlignment="1" applyProtection="1">
      <alignment horizontal="right" vertical="center"/>
      <protection locked="0"/>
    </xf>
    <xf numFmtId="4" fontId="143" fillId="56" borderId="165" xfId="8" applyNumberFormat="1" applyFont="1" applyFill="1" applyBorder="1" applyAlignment="1" applyProtection="1">
      <alignment horizontal="right" vertical="center"/>
      <protection locked="0"/>
    </xf>
    <xf numFmtId="176" fontId="130" fillId="0" borderId="211" xfId="0" applyNumberFormat="1" applyFont="1" applyBorder="1" applyProtection="1">
      <protection hidden="1"/>
    </xf>
    <xf numFmtId="169" fontId="130" fillId="0" borderId="212" xfId="0" applyNumberFormat="1" applyFont="1" applyBorder="1" applyProtection="1">
      <protection hidden="1"/>
    </xf>
    <xf numFmtId="2" fontId="128" fillId="0" borderId="213" xfId="0" applyNumberFormat="1" applyFont="1" applyBorder="1" applyAlignment="1" applyProtection="1">
      <alignment vertical="center"/>
      <protection hidden="1"/>
    </xf>
    <xf numFmtId="0" fontId="131" fillId="18" borderId="212" xfId="0" applyFont="1" applyFill="1" applyBorder="1" applyAlignment="1" applyProtection="1">
      <alignment horizontal="center"/>
      <protection hidden="1"/>
    </xf>
    <xf numFmtId="2" fontId="128" fillId="0" borderId="57" xfId="0" applyNumberFormat="1" applyFont="1" applyBorder="1" applyAlignment="1" applyProtection="1">
      <alignment vertical="center"/>
      <protection hidden="1"/>
    </xf>
    <xf numFmtId="0" fontId="73" fillId="52" borderId="105" xfId="0" applyFont="1" applyFill="1" applyBorder="1" applyAlignment="1">
      <alignment horizontal="center" vertical="center" wrapText="1"/>
    </xf>
    <xf numFmtId="0" fontId="56" fillId="0" borderId="78" xfId="0" applyFont="1" applyBorder="1" applyAlignment="1">
      <alignment horizontal="center" vertical="center" wrapText="1"/>
    </xf>
    <xf numFmtId="0" fontId="125" fillId="0" borderId="212" xfId="0" applyFont="1" applyBorder="1" applyAlignment="1">
      <alignment horizontal="center" vertical="center" wrapText="1"/>
    </xf>
    <xf numFmtId="165" fontId="125" fillId="0" borderId="212" xfId="0" applyNumberFormat="1" applyFont="1" applyBorder="1" applyAlignment="1">
      <alignment horizontal="center" vertical="center" wrapText="1"/>
    </xf>
    <xf numFmtId="0" fontId="74" fillId="52" borderId="0" xfId="0" applyFont="1" applyFill="1" applyBorder="1" applyAlignment="1">
      <alignment horizontal="center" vertical="center" wrapText="1"/>
    </xf>
    <xf numFmtId="180" fontId="66" fillId="0" borderId="0" xfId="17" applyNumberFormat="1" applyFont="1" applyAlignment="1">
      <alignment horizontal="center" vertical="center"/>
    </xf>
    <xf numFmtId="2" fontId="74" fillId="52" borderId="105" xfId="0" applyNumberFormat="1" applyFont="1" applyFill="1" applyBorder="1" applyAlignment="1">
      <alignment horizontal="center" vertical="center" wrapText="1"/>
    </xf>
    <xf numFmtId="2" fontId="75" fillId="0" borderId="52" xfId="71" applyNumberFormat="1" applyFont="1" applyBorder="1" applyAlignment="1">
      <alignment horizontal="center" vertical="center"/>
    </xf>
    <xf numFmtId="0" fontId="125" fillId="0" borderId="0" xfId="0" applyFont="1"/>
    <xf numFmtId="43" fontId="125" fillId="0" borderId="0" xfId="71" applyNumberFormat="1" applyFont="1" applyAlignment="1">
      <alignment horizontal="center" vertical="center"/>
    </xf>
    <xf numFmtId="43" fontId="74" fillId="52" borderId="105" xfId="13" applyFont="1" applyFill="1" applyBorder="1" applyAlignment="1">
      <alignment vertical="center" wrapText="1"/>
    </xf>
    <xf numFmtId="43" fontId="167" fillId="52" borderId="105" xfId="13" applyFont="1" applyFill="1" applyBorder="1" applyAlignment="1">
      <alignment vertical="center" wrapText="1"/>
    </xf>
    <xf numFmtId="43" fontId="1" fillId="0" borderId="0" xfId="13" applyFont="1" applyAlignment="1">
      <alignment horizontal="center" vertical="center"/>
    </xf>
    <xf numFmtId="43" fontId="51" fillId="0" borderId="0" xfId="13" applyFont="1" applyAlignment="1">
      <alignment horizontal="center" vertical="center"/>
    </xf>
    <xf numFmtId="0" fontId="130" fillId="0" borderId="0" xfId="0" applyFont="1" applyBorder="1" applyProtection="1">
      <protection hidden="1"/>
    </xf>
    <xf numFmtId="2" fontId="131" fillId="18" borderId="212" xfId="0" applyNumberFormat="1" applyFont="1" applyFill="1" applyBorder="1" applyAlignment="1" applyProtection="1">
      <alignment horizontal="center"/>
      <protection hidden="1"/>
    </xf>
    <xf numFmtId="2" fontId="130" fillId="0" borderId="212" xfId="0" applyNumberFormat="1" applyFont="1" applyBorder="1" applyProtection="1">
      <protection hidden="1"/>
    </xf>
    <xf numFmtId="176" fontId="130" fillId="0" borderId="212" xfId="0" applyNumberFormat="1" applyFont="1" applyBorder="1" applyProtection="1">
      <protection hidden="1"/>
    </xf>
    <xf numFmtId="2" fontId="130" fillId="0" borderId="8" xfId="0" applyNumberFormat="1" applyFont="1" applyBorder="1" applyProtection="1">
      <protection hidden="1"/>
    </xf>
    <xf numFmtId="0" fontId="130" fillId="0" borderId="94" xfId="0" applyFont="1" applyBorder="1" applyAlignment="1" applyProtection="1">
      <alignment horizontal="right"/>
      <protection hidden="1"/>
    </xf>
    <xf numFmtId="0" fontId="130" fillId="0" borderId="94" xfId="0" applyFont="1" applyBorder="1" applyProtection="1">
      <protection hidden="1"/>
    </xf>
    <xf numFmtId="0" fontId="130" fillId="0" borderId="9" xfId="0" applyFont="1" applyBorder="1" applyProtection="1">
      <protection hidden="1"/>
    </xf>
    <xf numFmtId="0" fontId="130" fillId="0" borderId="0" xfId="0" applyFont="1" applyBorder="1" applyAlignment="1" applyProtection="1">
      <alignment horizontal="right"/>
      <protection hidden="1"/>
    </xf>
    <xf numFmtId="0" fontId="131" fillId="18" borderId="106" xfId="0" applyFont="1" applyFill="1" applyBorder="1" applyAlignment="1" applyProtection="1">
      <alignment horizontal="center"/>
      <protection hidden="1"/>
    </xf>
    <xf numFmtId="0" fontId="131" fillId="18" borderId="102" xfId="0" applyFont="1" applyFill="1" applyBorder="1"/>
    <xf numFmtId="2" fontId="130" fillId="0" borderId="103" xfId="0" applyNumberFormat="1" applyFont="1" applyBorder="1" applyProtection="1">
      <protection hidden="1"/>
    </xf>
    <xf numFmtId="176" fontId="130" fillId="0" borderId="103" xfId="0" applyNumberFormat="1" applyFont="1" applyBorder="1" applyProtection="1">
      <protection hidden="1"/>
    </xf>
    <xf numFmtId="169" fontId="130" fillId="0" borderId="103" xfId="0" applyNumberFormat="1" applyFont="1" applyBorder="1" applyProtection="1">
      <protection hidden="1"/>
    </xf>
    <xf numFmtId="0" fontId="169" fillId="0" borderId="210" xfId="0" applyFont="1" applyBorder="1" applyAlignment="1">
      <alignment horizontal="center" vertical="center" wrapText="1"/>
    </xf>
    <xf numFmtId="0" fontId="169" fillId="0" borderId="0" xfId="0" applyFont="1" applyAlignment="1">
      <alignment horizontal="center" vertical="center" wrapText="1"/>
    </xf>
    <xf numFmtId="0" fontId="169" fillId="0" borderId="209" xfId="0" applyFont="1" applyBorder="1" applyAlignment="1">
      <alignment horizontal="center" vertical="center" wrapText="1"/>
    </xf>
    <xf numFmtId="0" fontId="169" fillId="18" borderId="7" xfId="0" applyFont="1" applyFill="1" applyBorder="1" applyAlignment="1">
      <alignment horizontal="center" vertical="center" wrapText="1"/>
    </xf>
    <xf numFmtId="0" fontId="169" fillId="52" borderId="7" xfId="0" applyFont="1" applyFill="1" applyBorder="1" applyAlignment="1">
      <alignment horizontal="center" vertical="center" wrapText="1"/>
    </xf>
    <xf numFmtId="0" fontId="82" fillId="52" borderId="7" xfId="0" applyFont="1" applyFill="1" applyBorder="1" applyAlignment="1">
      <alignment horizontal="center" vertical="center" wrapText="1"/>
    </xf>
    <xf numFmtId="2" fontId="82" fillId="52" borderId="7" xfId="0" applyNumberFormat="1" applyFont="1" applyFill="1" applyBorder="1" applyAlignment="1">
      <alignment horizontal="center" vertical="center" wrapText="1"/>
    </xf>
    <xf numFmtId="4" fontId="82" fillId="52" borderId="7" xfId="0" applyNumberFormat="1" applyFont="1" applyFill="1" applyBorder="1" applyAlignment="1">
      <alignment horizontal="center" vertical="center" wrapText="1"/>
    </xf>
    <xf numFmtId="0" fontId="75" fillId="0" borderId="0" xfId="0" applyFont="1"/>
    <xf numFmtId="0" fontId="75" fillId="52" borderId="7" xfId="0" applyFont="1" applyFill="1" applyBorder="1" applyAlignment="1">
      <alignment horizontal="center" vertical="center" wrapText="1"/>
    </xf>
    <xf numFmtId="169" fontId="128" fillId="0" borderId="106" xfId="0" applyNumberFormat="1" applyFont="1" applyBorder="1" applyAlignment="1" applyProtection="1">
      <alignment vertical="center"/>
      <protection hidden="1"/>
    </xf>
    <xf numFmtId="169" fontId="128" fillId="0" borderId="104" xfId="0" applyNumberFormat="1" applyFont="1" applyBorder="1" applyAlignment="1" applyProtection="1">
      <alignment vertical="center"/>
      <protection hidden="1"/>
    </xf>
    <xf numFmtId="0" fontId="73" fillId="52" borderId="212" xfId="0" applyFont="1" applyFill="1" applyBorder="1" applyAlignment="1">
      <alignment horizontal="center" vertical="center" wrapText="1"/>
    </xf>
    <xf numFmtId="0" fontId="163" fillId="0" borderId="212" xfId="0" applyFont="1" applyBorder="1" applyAlignment="1">
      <alignment horizontal="center" vertical="center" wrapText="1"/>
    </xf>
    <xf numFmtId="0" fontId="74" fillId="52" borderId="212" xfId="0" applyFont="1" applyFill="1" applyBorder="1" applyAlignment="1">
      <alignment horizontal="center" vertical="center" wrapText="1"/>
    </xf>
    <xf numFmtId="0" fontId="74" fillId="52" borderId="105" xfId="0" applyFont="1" applyFill="1" applyBorder="1" applyAlignment="1">
      <alignment horizontal="center" vertical="center" wrapText="1"/>
    </xf>
    <xf numFmtId="0" fontId="73" fillId="52" borderId="105" xfId="0" applyFont="1" applyFill="1" applyBorder="1" applyAlignment="1">
      <alignment horizontal="center" vertical="center" wrapText="1"/>
    </xf>
    <xf numFmtId="0" fontId="125" fillId="0" borderId="78" xfId="0" applyFont="1" applyBorder="1" applyAlignment="1">
      <alignment horizontal="center" vertical="center" wrapText="1"/>
    </xf>
    <xf numFmtId="0" fontId="56" fillId="0" borderId="78" xfId="0" applyFont="1" applyBorder="1" applyAlignment="1">
      <alignment horizontal="center" vertical="center" wrapText="1"/>
    </xf>
    <xf numFmtId="0" fontId="19" fillId="10" borderId="27" xfId="0" applyFont="1" applyFill="1" applyBorder="1" applyAlignment="1">
      <alignment horizontal="center" vertical="center"/>
    </xf>
    <xf numFmtId="0" fontId="19" fillId="10" borderId="28" xfId="0" applyFont="1" applyFill="1" applyBorder="1" applyAlignment="1">
      <alignment horizontal="center" vertical="center"/>
    </xf>
    <xf numFmtId="0" fontId="19" fillId="10" borderId="29" xfId="0" applyFont="1" applyFill="1" applyBorder="1" applyAlignment="1">
      <alignment horizontal="center" vertical="center"/>
    </xf>
    <xf numFmtId="170" fontId="19" fillId="10" borderId="53" xfId="17" applyNumberFormat="1" applyFont="1" applyFill="1" applyBorder="1" applyAlignment="1">
      <alignment horizontal="center" vertical="center"/>
    </xf>
    <xf numFmtId="170" fontId="19" fillId="10" borderId="60" xfId="17" applyNumberFormat="1" applyFont="1" applyFill="1" applyBorder="1" applyAlignment="1">
      <alignment horizontal="center" vertical="center"/>
    </xf>
    <xf numFmtId="170" fontId="19" fillId="10" borderId="61" xfId="17" applyNumberFormat="1" applyFont="1" applyFill="1" applyBorder="1" applyAlignment="1">
      <alignment horizontal="center" vertical="center"/>
    </xf>
    <xf numFmtId="0" fontId="19" fillId="18" borderId="16" xfId="0" applyFont="1" applyFill="1" applyBorder="1" applyAlignment="1">
      <alignment horizontal="left" vertical="center"/>
    </xf>
    <xf numFmtId="0" fontId="19" fillId="18" borderId="17" xfId="0" applyFont="1" applyFill="1" applyBorder="1" applyAlignment="1">
      <alignment horizontal="left" vertical="center"/>
    </xf>
    <xf numFmtId="0" fontId="19" fillId="18" borderId="18" xfId="0" applyFont="1" applyFill="1" applyBorder="1" applyAlignment="1">
      <alignment horizontal="left" vertical="center"/>
    </xf>
    <xf numFmtId="3" fontId="26" fillId="10" borderId="27" xfId="13" applyNumberFormat="1" applyFont="1" applyFill="1" applyBorder="1" applyAlignment="1">
      <alignment horizontal="center" vertical="center"/>
    </xf>
    <xf numFmtId="3" fontId="26" fillId="10" borderId="28" xfId="13" applyNumberFormat="1" applyFont="1" applyFill="1" applyBorder="1" applyAlignment="1">
      <alignment horizontal="center" vertical="center"/>
    </xf>
    <xf numFmtId="3" fontId="26" fillId="10" borderId="53" xfId="13" applyNumberFormat="1" applyFont="1" applyFill="1" applyBorder="1" applyAlignment="1">
      <alignment horizontal="center" vertical="center" wrapText="1"/>
    </xf>
    <xf numFmtId="3" fontId="26" fillId="10" borderId="60" xfId="13" applyNumberFormat="1" applyFont="1" applyFill="1" applyBorder="1" applyAlignment="1">
      <alignment horizontal="center" vertical="center" wrapText="1"/>
    </xf>
    <xf numFmtId="0" fontId="19" fillId="18" borderId="16" xfId="0" applyFont="1" applyFill="1" applyBorder="1" applyAlignment="1">
      <alignment horizontal="center" vertical="center"/>
    </xf>
    <xf numFmtId="0" fontId="19" fillId="18" borderId="17" xfId="0" applyFont="1" applyFill="1" applyBorder="1" applyAlignment="1">
      <alignment horizontal="center" vertical="center"/>
    </xf>
    <xf numFmtId="0" fontId="19" fillId="18" borderId="18" xfId="0" applyFont="1" applyFill="1" applyBorder="1" applyAlignment="1">
      <alignment horizontal="center" vertical="center"/>
    </xf>
    <xf numFmtId="1" fontId="19" fillId="0" borderId="0" xfId="17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0" borderId="80" xfId="0" applyFont="1" applyFill="1" applyBorder="1" applyAlignment="1">
      <alignment horizontal="center" vertical="center"/>
    </xf>
    <xf numFmtId="0" fontId="19" fillId="20" borderId="57" xfId="0" applyFont="1" applyFill="1" applyBorder="1" applyAlignment="1">
      <alignment horizontal="center" vertical="center"/>
    </xf>
    <xf numFmtId="3" fontId="26" fillId="10" borderId="58" xfId="13" applyNumberFormat="1" applyFont="1" applyFill="1" applyBorder="1" applyAlignment="1">
      <alignment horizontal="center" vertical="center" wrapText="1"/>
    </xf>
    <xf numFmtId="3" fontId="26" fillId="10" borderId="62" xfId="13" applyNumberFormat="1" applyFont="1" applyFill="1" applyBorder="1" applyAlignment="1">
      <alignment horizontal="center" vertical="center" wrapText="1"/>
    </xf>
    <xf numFmtId="3" fontId="26" fillId="10" borderId="196" xfId="13" applyNumberFormat="1" applyFont="1" applyFill="1" applyBorder="1" applyAlignment="1">
      <alignment horizontal="center" vertical="center"/>
    </xf>
    <xf numFmtId="3" fontId="26" fillId="10" borderId="68" xfId="13" applyNumberFormat="1" applyFont="1" applyFill="1" applyBorder="1" applyAlignment="1">
      <alignment horizontal="center" vertical="center"/>
    </xf>
    <xf numFmtId="0" fontId="35" fillId="18" borderId="16" xfId="0" applyFont="1" applyFill="1" applyBorder="1" applyAlignment="1">
      <alignment horizontal="center" vertical="center"/>
    </xf>
    <xf numFmtId="0" fontId="35" fillId="18" borderId="18" xfId="0" applyFont="1" applyFill="1" applyBorder="1" applyAlignment="1">
      <alignment horizontal="center" vertical="center"/>
    </xf>
    <xf numFmtId="0" fontId="76" fillId="18" borderId="16" xfId="71" applyFont="1" applyFill="1" applyBorder="1" applyAlignment="1">
      <alignment horizontal="center"/>
    </xf>
    <xf numFmtId="0" fontId="76" fillId="18" borderId="17" xfId="71" applyFont="1" applyFill="1" applyBorder="1" applyAlignment="1">
      <alignment horizontal="center"/>
    </xf>
    <xf numFmtId="0" fontId="76" fillId="18" borderId="18" xfId="71" applyFont="1" applyFill="1" applyBorder="1" applyAlignment="1">
      <alignment horizontal="center"/>
    </xf>
    <xf numFmtId="0" fontId="26" fillId="13" borderId="40" xfId="0" applyFont="1" applyFill="1" applyBorder="1" applyAlignment="1">
      <alignment horizontal="center"/>
    </xf>
    <xf numFmtId="0" fontId="26" fillId="13" borderId="41" xfId="0" applyFont="1" applyFill="1" applyBorder="1" applyAlignment="1">
      <alignment horizontal="center"/>
    </xf>
    <xf numFmtId="0" fontId="0" fillId="14" borderId="44" xfId="0" applyFill="1" applyBorder="1"/>
    <xf numFmtId="0" fontId="0" fillId="14" borderId="45" xfId="0" applyFill="1" applyBorder="1"/>
    <xf numFmtId="0" fontId="26" fillId="16" borderId="36" xfId="0" applyFont="1" applyFill="1" applyBorder="1" applyAlignment="1">
      <alignment horizontal="center" vertical="center" wrapText="1"/>
    </xf>
    <xf numFmtId="0" fontId="26" fillId="16" borderId="37" xfId="0" applyFont="1" applyFill="1" applyBorder="1" applyAlignment="1">
      <alignment horizontal="center" vertical="center" wrapText="1"/>
    </xf>
    <xf numFmtId="2" fontId="26" fillId="16" borderId="120" xfId="0" applyNumberFormat="1" applyFont="1" applyFill="1" applyBorder="1" applyAlignment="1">
      <alignment horizontal="center" vertical="center" wrapText="1"/>
    </xf>
    <xf numFmtId="2" fontId="26" fillId="16" borderId="12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2" fontId="26" fillId="16" borderId="36" xfId="0" applyNumberFormat="1" applyFont="1" applyFill="1" applyBorder="1" applyAlignment="1">
      <alignment horizontal="center" vertical="center" wrapText="1"/>
    </xf>
    <xf numFmtId="2" fontId="26" fillId="16" borderId="120" xfId="0" applyNumberFormat="1" applyFont="1" applyFill="1" applyBorder="1" applyAlignment="1">
      <alignment horizontal="center" vertical="top" wrapText="1"/>
    </xf>
    <xf numFmtId="2" fontId="26" fillId="16" borderId="121" xfId="0" applyNumberFormat="1" applyFont="1" applyFill="1" applyBorder="1" applyAlignment="1">
      <alignment horizontal="center" vertical="top" wrapText="1"/>
    </xf>
    <xf numFmtId="0" fontId="56" fillId="53" borderId="28" xfId="69" applyFont="1" applyFill="1" applyBorder="1" applyAlignment="1">
      <alignment horizontal="center" vertical="center" wrapText="1"/>
    </xf>
    <xf numFmtId="0" fontId="56" fillId="7" borderId="29" xfId="69" applyFont="1" applyFill="1" applyBorder="1" applyAlignment="1">
      <alignment horizontal="center" vertical="center" wrapText="1"/>
    </xf>
    <xf numFmtId="0" fontId="56" fillId="7" borderId="61" xfId="69" applyFont="1" applyFill="1" applyBorder="1" applyAlignment="1">
      <alignment horizontal="center" vertical="center" wrapText="1"/>
    </xf>
    <xf numFmtId="0" fontId="58" fillId="20" borderId="56" xfId="0" applyFont="1" applyFill="1" applyBorder="1" applyAlignment="1">
      <alignment horizontal="center" vertical="center"/>
    </xf>
    <xf numFmtId="0" fontId="58" fillId="20" borderId="80" xfId="0" applyFont="1" applyFill="1" applyBorder="1" applyAlignment="1">
      <alignment horizontal="center" vertical="center"/>
    </xf>
    <xf numFmtId="0" fontId="56" fillId="7" borderId="27" xfId="69" applyFont="1" applyFill="1" applyBorder="1" applyAlignment="1">
      <alignment horizontal="center" vertical="center"/>
    </xf>
    <xf numFmtId="0" fontId="56" fillId="7" borderId="53" xfId="69" applyFont="1" applyFill="1" applyBorder="1" applyAlignment="1">
      <alignment horizontal="center" vertical="center"/>
    </xf>
    <xf numFmtId="0" fontId="56" fillId="53" borderId="55" xfId="69" applyFont="1" applyFill="1" applyBorder="1" applyAlignment="1">
      <alignment horizontal="center" vertical="center"/>
    </xf>
    <xf numFmtId="0" fontId="56" fillId="53" borderId="50" xfId="69" applyFont="1" applyFill="1" applyBorder="1" applyAlignment="1">
      <alignment horizontal="center" vertical="center"/>
    </xf>
    <xf numFmtId="0" fontId="56" fillId="7" borderId="68" xfId="69" applyFont="1" applyFill="1" applyBorder="1" applyAlignment="1">
      <alignment horizontal="center" vertical="center"/>
    </xf>
    <xf numFmtId="0" fontId="56" fillId="7" borderId="62" xfId="69" applyFont="1" applyFill="1" applyBorder="1" applyAlignment="1">
      <alignment horizontal="center" vertical="center"/>
    </xf>
    <xf numFmtId="0" fontId="25" fillId="7" borderId="52" xfId="69" applyFont="1" applyFill="1" applyBorder="1" applyAlignment="1">
      <alignment horizontal="center" vertical="center" wrapText="1"/>
    </xf>
    <xf numFmtId="0" fontId="25" fillId="7" borderId="79" xfId="69" applyFont="1" applyFill="1" applyBorder="1" applyAlignment="1">
      <alignment horizontal="center" vertical="center" wrapText="1"/>
    </xf>
    <xf numFmtId="0" fontId="25" fillId="7" borderId="68" xfId="69" applyFont="1" applyFill="1" applyBorder="1" applyAlignment="1">
      <alignment horizontal="center" vertical="center" wrapText="1"/>
    </xf>
    <xf numFmtId="2" fontId="59" fillId="2" borderId="105" xfId="70" applyNumberFormat="1" applyFont="1" applyFill="1" applyBorder="1" applyAlignment="1">
      <alignment horizontal="center" vertical="center"/>
    </xf>
    <xf numFmtId="0" fontId="91" fillId="18" borderId="105" xfId="0" applyFont="1" applyFill="1" applyBorder="1" applyAlignment="1">
      <alignment horizontal="center" vertical="center"/>
    </xf>
    <xf numFmtId="0" fontId="71" fillId="0" borderId="108" xfId="0" applyFont="1" applyBorder="1" applyAlignment="1">
      <alignment horizontal="center" vertical="center"/>
    </xf>
    <xf numFmtId="0" fontId="71" fillId="0" borderId="31" xfId="0" applyFont="1" applyBorder="1" applyAlignment="1">
      <alignment horizontal="center" vertical="center"/>
    </xf>
    <xf numFmtId="0" fontId="123" fillId="0" borderId="108" xfId="0" applyFont="1" applyBorder="1" applyAlignment="1">
      <alignment horizontal="center" vertical="center" wrapText="1"/>
    </xf>
    <xf numFmtId="0" fontId="123" fillId="0" borderId="31" xfId="0" applyFont="1" applyBorder="1" applyAlignment="1">
      <alignment horizontal="center" vertical="center" wrapText="1"/>
    </xf>
    <xf numFmtId="2" fontId="72" fillId="0" borderId="108" xfId="0" applyNumberFormat="1" applyFont="1" applyBorder="1" applyAlignment="1">
      <alignment horizontal="center" vertical="center"/>
    </xf>
    <xf numFmtId="2" fontId="72" fillId="0" borderId="31" xfId="0" applyNumberFormat="1" applyFont="1" applyBorder="1" applyAlignment="1">
      <alignment horizontal="center" vertical="center"/>
    </xf>
    <xf numFmtId="0" fontId="26" fillId="0" borderId="94" xfId="0" applyFont="1" applyBorder="1" applyAlignment="1">
      <alignment horizontal="right" vertical="center" wrapText="1"/>
    </xf>
    <xf numFmtId="0" fontId="69" fillId="0" borderId="0" xfId="0" applyFont="1" applyAlignment="1">
      <alignment horizontal="left" vertical="top" wrapText="1"/>
    </xf>
    <xf numFmtId="0" fontId="69" fillId="0" borderId="16" xfId="0" applyFont="1" applyBorder="1" applyAlignment="1">
      <alignment horizontal="center" wrapText="1"/>
    </xf>
    <xf numFmtId="0" fontId="69" fillId="0" borderId="17" xfId="0" applyFont="1" applyBorder="1" applyAlignment="1">
      <alignment horizontal="center" wrapText="1"/>
    </xf>
    <xf numFmtId="0" fontId="69" fillId="0" borderId="18" xfId="0" applyFont="1" applyBorder="1" applyAlignment="1">
      <alignment horizontal="center" wrapText="1"/>
    </xf>
    <xf numFmtId="0" fontId="69" fillId="18" borderId="16" xfId="0" applyFont="1" applyFill="1" applyBorder="1" applyAlignment="1">
      <alignment horizontal="center" wrapText="1"/>
    </xf>
    <xf numFmtId="0" fontId="69" fillId="18" borderId="17" xfId="0" applyFont="1" applyFill="1" applyBorder="1" applyAlignment="1">
      <alignment horizontal="center" wrapText="1"/>
    </xf>
    <xf numFmtId="0" fontId="69" fillId="18" borderId="18" xfId="0" applyFont="1" applyFill="1" applyBorder="1" applyAlignment="1">
      <alignment horizontal="center" wrapText="1"/>
    </xf>
    <xf numFmtId="0" fontId="99" fillId="0" borderId="127" xfId="0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 wrapText="1"/>
    </xf>
    <xf numFmtId="2" fontId="68" fillId="10" borderId="105" xfId="0" applyNumberFormat="1" applyFont="1" applyFill="1" applyBorder="1" applyAlignment="1">
      <alignment horizontal="center" vertical="center"/>
    </xf>
    <xf numFmtId="0" fontId="63" fillId="2" borderId="105" xfId="0" applyFont="1" applyFill="1" applyBorder="1" applyAlignment="1">
      <alignment horizontal="center" wrapText="1"/>
    </xf>
    <xf numFmtId="0" fontId="63" fillId="10" borderId="111" xfId="0" applyFont="1" applyFill="1" applyBorder="1" applyAlignment="1">
      <alignment horizontal="center" wrapText="1"/>
    </xf>
    <xf numFmtId="0" fontId="63" fillId="10" borderId="115" xfId="0" applyFont="1" applyFill="1" applyBorder="1" applyAlignment="1">
      <alignment horizontal="center" wrapText="1"/>
    </xf>
    <xf numFmtId="0" fontId="69" fillId="2" borderId="10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 vertical="center" wrapText="1"/>
    </xf>
    <xf numFmtId="0" fontId="13" fillId="7" borderId="18" xfId="0" applyFont="1" applyFill="1" applyBorder="1"/>
    <xf numFmtId="0" fontId="33" fillId="7" borderId="27" xfId="0" applyFont="1" applyFill="1" applyBorder="1" applyAlignment="1">
      <alignment horizontal="center" vertical="center" wrapText="1"/>
    </xf>
    <xf numFmtId="0" fontId="33" fillId="7" borderId="29" xfId="0" applyFont="1" applyFill="1" applyBorder="1" applyAlignment="1">
      <alignment horizontal="center" vertical="center" wrapText="1"/>
    </xf>
    <xf numFmtId="2" fontId="59" fillId="2" borderId="78" xfId="70" applyNumberFormat="1" applyFont="1" applyFill="1" applyBorder="1" applyAlignment="1">
      <alignment horizontal="center" vertical="center"/>
    </xf>
    <xf numFmtId="2" fontId="72" fillId="0" borderId="84" xfId="0" applyNumberFormat="1" applyFont="1" applyBorder="1" applyAlignment="1">
      <alignment horizontal="center" vertical="center"/>
    </xf>
    <xf numFmtId="0" fontId="91" fillId="18" borderId="78" xfId="0" applyFont="1" applyFill="1" applyBorder="1" applyAlignment="1">
      <alignment horizontal="center" vertical="center"/>
    </xf>
    <xf numFmtId="0" fontId="123" fillId="0" borderId="84" xfId="0" applyFont="1" applyBorder="1" applyAlignment="1">
      <alignment horizontal="center" vertical="center" wrapText="1"/>
    </xf>
    <xf numFmtId="0" fontId="71" fillId="0" borderId="84" xfId="0" applyFont="1" applyBorder="1" applyAlignment="1">
      <alignment horizontal="center" vertical="center"/>
    </xf>
    <xf numFmtId="0" fontId="62" fillId="18" borderId="8" xfId="5" applyFont="1" applyFill="1" applyBorder="1" applyAlignment="1">
      <alignment horizontal="center"/>
    </xf>
    <xf numFmtId="0" fontId="62" fillId="18" borderId="94" xfId="5" applyFont="1" applyFill="1" applyBorder="1" applyAlignment="1">
      <alignment horizontal="center"/>
    </xf>
    <xf numFmtId="0" fontId="62" fillId="18" borderId="9" xfId="5" applyFont="1" applyFill="1" applyBorder="1" applyAlignment="1">
      <alignment horizontal="center"/>
    </xf>
    <xf numFmtId="0" fontId="59" fillId="2" borderId="0" xfId="71" applyFont="1" applyFill="1" applyAlignment="1">
      <alignment horizontal="left" vertical="center" wrapText="1"/>
    </xf>
    <xf numFmtId="0" fontId="62" fillId="18" borderId="16" xfId="5" applyFont="1" applyFill="1" applyBorder="1" applyAlignment="1">
      <alignment horizontal="center"/>
    </xf>
    <xf numFmtId="0" fontId="62" fillId="18" borderId="17" xfId="5" applyFont="1" applyFill="1" applyBorder="1" applyAlignment="1">
      <alignment horizontal="center"/>
    </xf>
    <xf numFmtId="0" fontId="62" fillId="18" borderId="18" xfId="5" applyFont="1" applyFill="1" applyBorder="1" applyAlignment="1">
      <alignment horizontal="center"/>
    </xf>
    <xf numFmtId="0" fontId="62" fillId="18" borderId="16" xfId="71" applyFont="1" applyFill="1" applyBorder="1" applyAlignment="1">
      <alignment horizontal="center" vertical="center"/>
    </xf>
    <xf numFmtId="0" fontId="62" fillId="18" borderId="17" xfId="71" applyFont="1" applyFill="1" applyBorder="1" applyAlignment="1">
      <alignment horizontal="center" vertical="center"/>
    </xf>
    <xf numFmtId="0" fontId="62" fillId="18" borderId="18" xfId="71" applyFont="1" applyFill="1" applyBorder="1" applyAlignment="1">
      <alignment horizontal="center" vertical="center"/>
    </xf>
    <xf numFmtId="0" fontId="134" fillId="0" borderId="105" xfId="0" applyFont="1" applyBorder="1" applyAlignment="1">
      <alignment horizontal="center" vertical="center"/>
    </xf>
    <xf numFmtId="2" fontId="134" fillId="0" borderId="108" xfId="0" applyNumberFormat="1" applyFont="1" applyBorder="1" applyAlignment="1">
      <alignment horizontal="right" vertical="center"/>
    </xf>
    <xf numFmtId="2" fontId="134" fillId="0" borderId="31" xfId="0" applyNumberFormat="1" applyFont="1" applyBorder="1" applyAlignment="1">
      <alignment horizontal="right" vertical="center"/>
    </xf>
    <xf numFmtId="0" fontId="62" fillId="18" borderId="78" xfId="71" applyFont="1" applyFill="1" applyBorder="1" applyAlignment="1">
      <alignment horizontal="center" vertical="center" wrapText="1"/>
    </xf>
    <xf numFmtId="0" fontId="78" fillId="2" borderId="78" xfId="71" applyFont="1" applyFill="1" applyBorder="1" applyAlignment="1">
      <alignment horizontal="center" wrapText="1"/>
    </xf>
    <xf numFmtId="1" fontId="75" fillId="0" borderId="84" xfId="71" applyNumberFormat="1" applyFont="1" applyBorder="1" applyAlignment="1">
      <alignment horizontal="center" vertical="center" wrapText="1"/>
    </xf>
    <xf numFmtId="1" fontId="75" fillId="0" borderId="87" xfId="71" applyNumberFormat="1" applyFont="1" applyBorder="1" applyAlignment="1">
      <alignment horizontal="center" vertical="center" wrapText="1"/>
    </xf>
    <xf numFmtId="1" fontId="75" fillId="0" borderId="31" xfId="71" applyNumberFormat="1" applyFont="1" applyBorder="1" applyAlignment="1">
      <alignment horizontal="center" vertical="center" wrapText="1"/>
    </xf>
    <xf numFmtId="0" fontId="75" fillId="0" borderId="87" xfId="71" applyFont="1" applyBorder="1" applyAlignment="1">
      <alignment horizontal="center" vertical="center" wrapText="1"/>
    </xf>
    <xf numFmtId="0" fontId="75" fillId="0" borderId="31" xfId="71" applyFont="1" applyBorder="1" applyAlignment="1">
      <alignment horizontal="center" vertical="center" wrapText="1"/>
    </xf>
    <xf numFmtId="0" fontId="75" fillId="0" borderId="84" xfId="71" applyFont="1" applyBorder="1" applyAlignment="1">
      <alignment horizontal="center" vertical="center" wrapText="1"/>
    </xf>
    <xf numFmtId="0" fontId="62" fillId="18" borderId="82" xfId="71" applyFont="1" applyFill="1" applyBorder="1" applyAlignment="1">
      <alignment horizontal="center" vertical="center" wrapText="1"/>
    </xf>
    <xf numFmtId="0" fontId="62" fillId="18" borderId="93" xfId="71" applyFont="1" applyFill="1" applyBorder="1" applyAlignment="1">
      <alignment horizontal="center" vertical="center" wrapText="1"/>
    </xf>
    <xf numFmtId="0" fontId="62" fillId="18" borderId="92" xfId="71" applyFont="1" applyFill="1" applyBorder="1" applyAlignment="1">
      <alignment horizontal="center" vertical="center" wrapText="1"/>
    </xf>
    <xf numFmtId="0" fontId="62" fillId="18" borderId="84" xfId="71" applyFont="1" applyFill="1" applyBorder="1" applyAlignment="1">
      <alignment horizontal="center" vertical="center" wrapText="1"/>
    </xf>
    <xf numFmtId="0" fontId="62" fillId="18" borderId="87" xfId="71" applyFont="1" applyFill="1" applyBorder="1" applyAlignment="1">
      <alignment horizontal="center" vertical="center" wrapText="1"/>
    </xf>
    <xf numFmtId="0" fontId="62" fillId="18" borderId="31" xfId="71" applyFont="1" applyFill="1" applyBorder="1" applyAlignment="1">
      <alignment horizontal="center" vertical="center" wrapText="1"/>
    </xf>
    <xf numFmtId="0" fontId="92" fillId="18" borderId="78" xfId="71" applyFont="1" applyFill="1" applyBorder="1" applyAlignment="1">
      <alignment horizontal="center" wrapText="1"/>
    </xf>
    <xf numFmtId="0" fontId="84" fillId="18" borderId="82" xfId="71" applyFont="1" applyFill="1" applyBorder="1" applyAlignment="1">
      <alignment horizontal="center" vertical="center" wrapText="1"/>
    </xf>
    <xf numFmtId="0" fontId="84" fillId="18" borderId="92" xfId="71" applyFont="1" applyFill="1" applyBorder="1" applyAlignment="1">
      <alignment horizontal="center" vertical="center" wrapText="1"/>
    </xf>
    <xf numFmtId="0" fontId="84" fillId="18" borderId="82" xfId="71" applyFont="1" applyFill="1" applyBorder="1" applyAlignment="1">
      <alignment horizontal="center" wrapText="1"/>
    </xf>
    <xf numFmtId="0" fontId="84" fillId="18" borderId="92" xfId="71" applyFont="1" applyFill="1" applyBorder="1" applyAlignment="1">
      <alignment horizontal="center" wrapText="1"/>
    </xf>
    <xf numFmtId="0" fontId="84" fillId="18" borderId="78" xfId="71" applyFont="1" applyFill="1" applyBorder="1" applyAlignment="1">
      <alignment horizontal="center" vertical="center" wrapText="1"/>
    </xf>
    <xf numFmtId="0" fontId="84" fillId="18" borderId="96" xfId="71" applyFont="1" applyFill="1" applyBorder="1" applyAlignment="1">
      <alignment horizontal="center" vertical="center" wrapText="1"/>
    </xf>
    <xf numFmtId="0" fontId="84" fillId="18" borderId="95" xfId="71" applyFont="1" applyFill="1" applyBorder="1" applyAlignment="1">
      <alignment horizontal="center" vertical="center" wrapText="1"/>
    </xf>
    <xf numFmtId="0" fontId="84" fillId="18" borderId="97" xfId="71" applyFont="1" applyFill="1" applyBorder="1" applyAlignment="1">
      <alignment horizontal="center" vertical="center" wrapText="1"/>
    </xf>
    <xf numFmtId="0" fontId="84" fillId="18" borderId="84" xfId="71" applyFont="1" applyFill="1" applyBorder="1" applyAlignment="1">
      <alignment horizontal="center" vertical="center" wrapText="1"/>
    </xf>
    <xf numFmtId="0" fontId="84" fillId="18" borderId="87" xfId="71" applyFont="1" applyFill="1" applyBorder="1" applyAlignment="1">
      <alignment horizontal="center" vertical="center" wrapText="1"/>
    </xf>
    <xf numFmtId="0" fontId="84" fillId="18" borderId="31" xfId="71" applyFont="1" applyFill="1" applyBorder="1" applyAlignment="1">
      <alignment horizontal="center" vertical="center" wrapText="1"/>
    </xf>
    <xf numFmtId="0" fontId="84" fillId="18" borderId="105" xfId="71" applyFont="1" applyFill="1" applyBorder="1" applyAlignment="1">
      <alignment horizontal="center" vertical="center" wrapText="1"/>
    </xf>
    <xf numFmtId="0" fontId="115" fillId="54" borderId="130" xfId="8" applyFont="1" applyFill="1" applyBorder="1" applyAlignment="1">
      <alignment horizontal="center" vertical="center" wrapText="1"/>
    </xf>
    <xf numFmtId="0" fontId="113" fillId="54" borderId="137" xfId="8" applyFont="1" applyFill="1" applyBorder="1" applyAlignment="1">
      <alignment horizontal="center" vertical="center" wrapText="1"/>
    </xf>
    <xf numFmtId="0" fontId="117" fillId="55" borderId="139" xfId="8" applyFont="1" applyFill="1" applyBorder="1" applyAlignment="1">
      <alignment horizontal="right" vertical="center"/>
    </xf>
    <xf numFmtId="0" fontId="117" fillId="55" borderId="140" xfId="8" applyFont="1" applyFill="1" applyBorder="1" applyAlignment="1">
      <alignment horizontal="right" vertical="center"/>
    </xf>
    <xf numFmtId="2" fontId="21" fillId="55" borderId="94" xfId="8" applyNumberFormat="1" applyFont="1" applyFill="1" applyBorder="1" applyAlignment="1">
      <alignment horizontal="right" vertical="center"/>
    </xf>
    <xf numFmtId="2" fontId="21" fillId="55" borderId="151" xfId="8" applyNumberFormat="1" applyFont="1" applyFill="1" applyBorder="1" applyAlignment="1">
      <alignment horizontal="right" vertical="center"/>
    </xf>
    <xf numFmtId="0" fontId="108" fillId="0" borderId="0" xfId="8" applyFont="1" applyAlignment="1">
      <alignment horizontal="justify" wrapText="1"/>
    </xf>
    <xf numFmtId="0" fontId="109" fillId="0" borderId="0" xfId="8" applyFont="1" applyAlignment="1">
      <alignment horizontal="justify" wrapText="1"/>
    </xf>
    <xf numFmtId="0" fontId="112" fillId="0" borderId="0" xfId="8" applyFont="1" applyAlignment="1">
      <alignment horizontal="left" vertical="center" wrapText="1"/>
    </xf>
    <xf numFmtId="0" fontId="114" fillId="54" borderId="19" xfId="8" applyFont="1" applyFill="1" applyBorder="1" applyAlignment="1">
      <alignment horizontal="center" vertical="center" wrapText="1"/>
    </xf>
    <xf numFmtId="0" fontId="114" fillId="54" borderId="109" xfId="8" applyFont="1" applyFill="1" applyBorder="1" applyAlignment="1">
      <alignment horizontal="center" vertical="center" wrapText="1"/>
    </xf>
    <xf numFmtId="0" fontId="114" fillId="54" borderId="193" xfId="8" applyFont="1" applyFill="1" applyBorder="1" applyAlignment="1">
      <alignment horizontal="center" vertical="center" wrapText="1"/>
    </xf>
    <xf numFmtId="0" fontId="108" fillId="54" borderId="124" xfId="8" applyFont="1" applyFill="1" applyBorder="1" applyAlignment="1">
      <alignment horizontal="center" vertical="top" wrapText="1"/>
    </xf>
    <xf numFmtId="0" fontId="109" fillId="54" borderId="124" xfId="8" applyFont="1" applyFill="1" applyBorder="1" applyAlignment="1">
      <alignment horizontal="center" vertical="top" wrapText="1"/>
    </xf>
    <xf numFmtId="0" fontId="109" fillId="54" borderId="125" xfId="8" applyFont="1" applyFill="1" applyBorder="1" applyAlignment="1">
      <alignment horizontal="center" vertical="top" wrapText="1"/>
    </xf>
    <xf numFmtId="0" fontId="115" fillId="54" borderId="95" xfId="8" applyFont="1" applyFill="1" applyBorder="1" applyAlignment="1">
      <alignment horizontal="center" vertical="center" wrapText="1"/>
    </xf>
    <xf numFmtId="0" fontId="113" fillId="54" borderId="165" xfId="8" applyFont="1" applyFill="1" applyBorder="1" applyAlignment="1">
      <alignment horizontal="center" vertical="center" wrapText="1"/>
    </xf>
    <xf numFmtId="0" fontId="115" fillId="54" borderId="127" xfId="8" applyFont="1" applyFill="1" applyBorder="1" applyAlignment="1">
      <alignment horizontal="center" vertical="center" wrapText="1"/>
    </xf>
    <xf numFmtId="0" fontId="113" fillId="54" borderId="133" xfId="8" applyFont="1" applyFill="1" applyBorder="1" applyAlignment="1">
      <alignment horizontal="center" vertical="center" wrapText="1"/>
    </xf>
    <xf numFmtId="0" fontId="115" fillId="54" borderId="90" xfId="8" applyFont="1" applyFill="1" applyBorder="1" applyAlignment="1">
      <alignment horizontal="center" vertical="center" wrapText="1"/>
    </xf>
    <xf numFmtId="0" fontId="113" fillId="54" borderId="128" xfId="8" applyFont="1" applyFill="1" applyBorder="1" applyAlignment="1">
      <alignment horizontal="center" vertical="center" wrapText="1"/>
    </xf>
    <xf numFmtId="0" fontId="113" fillId="54" borderId="97" xfId="8" applyFont="1" applyFill="1" applyBorder="1" applyAlignment="1">
      <alignment horizontal="center" vertical="center" wrapText="1"/>
    </xf>
    <xf numFmtId="0" fontId="113" fillId="54" borderId="129" xfId="8" applyFont="1" applyFill="1" applyBorder="1" applyAlignment="1">
      <alignment horizontal="center" vertical="center" wrapText="1"/>
    </xf>
    <xf numFmtId="0" fontId="108" fillId="54" borderId="138" xfId="8" applyFont="1" applyFill="1" applyBorder="1" applyAlignment="1">
      <alignment horizontal="center" vertical="center" wrapText="1"/>
    </xf>
    <xf numFmtId="0" fontId="108" fillId="54" borderId="126" xfId="8" applyFont="1" applyFill="1" applyBorder="1" applyAlignment="1">
      <alignment horizontal="center" vertical="center" wrapText="1"/>
    </xf>
    <xf numFmtId="0" fontId="108" fillId="54" borderId="156" xfId="8" applyFont="1" applyFill="1" applyBorder="1" applyAlignment="1">
      <alignment horizontal="center" vertical="center" wrapText="1"/>
    </xf>
    <xf numFmtId="0" fontId="108" fillId="54" borderId="123" xfId="8" applyFont="1" applyFill="1" applyBorder="1" applyAlignment="1">
      <alignment horizontal="center" vertical="top" wrapText="1"/>
    </xf>
    <xf numFmtId="0" fontId="108" fillId="54" borderId="125" xfId="8" applyFont="1" applyFill="1" applyBorder="1" applyAlignment="1">
      <alignment horizontal="center" vertical="top" wrapText="1"/>
    </xf>
    <xf numFmtId="0" fontId="115" fillId="54" borderId="191" xfId="8" applyFont="1" applyFill="1" applyBorder="1" applyAlignment="1">
      <alignment horizontal="center" vertical="center" wrapText="1"/>
    </xf>
    <xf numFmtId="0" fontId="115" fillId="54" borderId="132" xfId="8" applyFont="1" applyFill="1" applyBorder="1" applyAlignment="1">
      <alignment horizontal="center" vertical="center" wrapText="1"/>
    </xf>
    <xf numFmtId="0" fontId="115" fillId="54" borderId="190" xfId="8" applyFont="1" applyFill="1" applyBorder="1" applyAlignment="1">
      <alignment horizontal="center" vertical="center" wrapText="1"/>
    </xf>
    <xf numFmtId="0" fontId="115" fillId="54" borderId="133" xfId="8" applyFont="1" applyFill="1" applyBorder="1" applyAlignment="1">
      <alignment horizontal="center" vertical="center" wrapText="1"/>
    </xf>
    <xf numFmtId="0" fontId="115" fillId="54" borderId="188" xfId="8" applyFont="1" applyFill="1" applyBorder="1" applyAlignment="1">
      <alignment horizontal="center" vertical="center" wrapText="1"/>
    </xf>
    <xf numFmtId="0" fontId="115" fillId="54" borderId="139" xfId="8" applyFont="1" applyFill="1" applyBorder="1" applyAlignment="1">
      <alignment horizontal="center" vertical="center" wrapText="1"/>
    </xf>
    <xf numFmtId="0" fontId="115" fillId="54" borderId="189" xfId="8" applyFont="1" applyFill="1" applyBorder="1" applyAlignment="1">
      <alignment horizontal="center" vertical="center" wrapText="1"/>
    </xf>
    <xf numFmtId="0" fontId="115" fillId="54" borderId="140" xfId="8" applyFont="1" applyFill="1" applyBorder="1" applyAlignment="1">
      <alignment horizontal="center" vertical="center" wrapText="1"/>
    </xf>
    <xf numFmtId="0" fontId="115" fillId="54" borderId="138" xfId="8" applyFont="1" applyFill="1" applyBorder="1" applyAlignment="1">
      <alignment horizontal="center" vertical="center" wrapText="1"/>
    </xf>
    <xf numFmtId="0" fontId="115" fillId="54" borderId="131" xfId="8" applyFont="1" applyFill="1" applyBorder="1" applyAlignment="1">
      <alignment horizontal="center" vertical="center" wrapText="1"/>
    </xf>
    <xf numFmtId="0" fontId="21" fillId="60" borderId="160" xfId="8" applyFont="1" applyFill="1" applyBorder="1" applyAlignment="1">
      <alignment horizontal="right" vertical="center"/>
    </xf>
    <xf numFmtId="0" fontId="21" fillId="60" borderId="161" xfId="8" applyFont="1" applyFill="1" applyBorder="1" applyAlignment="1">
      <alignment horizontal="right" vertical="center"/>
    </xf>
    <xf numFmtId="0" fontId="21" fillId="60" borderId="162" xfId="8" applyFont="1" applyFill="1" applyBorder="1" applyAlignment="1">
      <alignment horizontal="right" vertical="center"/>
    </xf>
    <xf numFmtId="0" fontId="21" fillId="60" borderId="163" xfId="8" applyFont="1" applyFill="1" applyBorder="1" applyAlignment="1">
      <alignment horizontal="right" vertical="center"/>
    </xf>
    <xf numFmtId="0" fontId="21" fillId="60" borderId="0" xfId="8" applyFont="1" applyFill="1" applyAlignment="1">
      <alignment horizontal="right" vertical="center"/>
    </xf>
    <xf numFmtId="0" fontId="21" fillId="60" borderId="130" xfId="8" applyFont="1" applyFill="1" applyBorder="1" applyAlignment="1">
      <alignment horizontal="right" vertical="center"/>
    </xf>
    <xf numFmtId="0" fontId="113" fillId="54" borderId="126" xfId="8" applyFont="1" applyFill="1" applyBorder="1" applyAlignment="1">
      <alignment horizontal="center" vertical="center" wrapText="1"/>
    </xf>
    <xf numFmtId="0" fontId="113" fillId="54" borderId="131" xfId="8" applyFont="1" applyFill="1" applyBorder="1" applyAlignment="1">
      <alignment horizontal="center" vertical="center" wrapText="1"/>
    </xf>
    <xf numFmtId="0" fontId="113" fillId="54" borderId="171" xfId="8" applyFont="1" applyFill="1" applyBorder="1" applyAlignment="1">
      <alignment horizontal="center" vertical="center" wrapText="1"/>
    </xf>
    <xf numFmtId="0" fontId="108" fillId="54" borderId="168" xfId="8" applyFont="1" applyFill="1" applyBorder="1" applyAlignment="1">
      <alignment horizontal="center" vertical="center"/>
    </xf>
    <xf numFmtId="0" fontId="109" fillId="54" borderId="169" xfId="8" applyFont="1" applyFill="1" applyBorder="1" applyAlignment="1">
      <alignment horizontal="center" vertical="center"/>
    </xf>
    <xf numFmtId="0" fontId="109" fillId="54" borderId="170" xfId="8" applyFont="1" applyFill="1" applyBorder="1" applyAlignment="1">
      <alignment horizontal="center" vertical="center"/>
    </xf>
    <xf numFmtId="0" fontId="115" fillId="54" borderId="113" xfId="8" applyFont="1" applyFill="1" applyBorder="1" applyAlignment="1">
      <alignment horizontal="center" vertical="center" wrapText="1"/>
    </xf>
    <xf numFmtId="0" fontId="113" fillId="54" borderId="130" xfId="8" applyFont="1" applyFill="1" applyBorder="1" applyAlignment="1">
      <alignment horizontal="center" vertical="center" wrapText="1"/>
    </xf>
    <xf numFmtId="0" fontId="115" fillId="54" borderId="122" xfId="8" applyFont="1" applyFill="1" applyBorder="1" applyAlignment="1">
      <alignment horizontal="center" vertical="center" wrapText="1"/>
    </xf>
    <xf numFmtId="0" fontId="113" fillId="54" borderId="113" xfId="8" applyFont="1" applyFill="1" applyBorder="1" applyAlignment="1">
      <alignment horizontal="center" vertical="center" wrapText="1"/>
    </xf>
    <xf numFmtId="0" fontId="113" fillId="54" borderId="163" xfId="8" applyFont="1" applyFill="1" applyBorder="1" applyAlignment="1">
      <alignment horizontal="center" vertical="center" wrapText="1"/>
    </xf>
    <xf numFmtId="0" fontId="115" fillId="54" borderId="144" xfId="8" applyFont="1" applyFill="1" applyBorder="1" applyAlignment="1">
      <alignment horizontal="center" vertical="center" wrapText="1"/>
    </xf>
    <xf numFmtId="0" fontId="113" fillId="54" borderId="80" xfId="8" applyFont="1" applyFill="1" applyBorder="1" applyAlignment="1">
      <alignment horizontal="center" vertical="center" wrapText="1"/>
    </xf>
    <xf numFmtId="0" fontId="113" fillId="54" borderId="57" xfId="8" applyFont="1" applyFill="1" applyBorder="1" applyAlignment="1">
      <alignment horizontal="center" vertical="center" wrapText="1"/>
    </xf>
    <xf numFmtId="0" fontId="115" fillId="54" borderId="25" xfId="8" applyFont="1" applyFill="1" applyBorder="1" applyAlignment="1">
      <alignment horizontal="center" vertical="center" wrapText="1"/>
    </xf>
    <xf numFmtId="0" fontId="115" fillId="54" borderId="158" xfId="8" applyFont="1" applyFill="1" applyBorder="1" applyAlignment="1">
      <alignment horizontal="center" vertical="center" wrapText="1"/>
    </xf>
    <xf numFmtId="0" fontId="113" fillId="54" borderId="175" xfId="8" applyFont="1" applyFill="1" applyBorder="1" applyAlignment="1">
      <alignment horizontal="center" vertical="center" wrapText="1"/>
    </xf>
    <xf numFmtId="0" fontId="108" fillId="54" borderId="123" xfId="8" applyFont="1" applyFill="1" applyBorder="1" applyAlignment="1">
      <alignment horizontal="center" vertical="center" wrapText="1"/>
    </xf>
    <xf numFmtId="0" fontId="108" fillId="54" borderId="124" xfId="8" applyFont="1" applyFill="1" applyBorder="1" applyAlignment="1">
      <alignment horizontal="center" vertical="center" wrapText="1"/>
    </xf>
    <xf numFmtId="0" fontId="108" fillId="54" borderId="125" xfId="8" applyFont="1" applyFill="1" applyBorder="1" applyAlignment="1">
      <alignment horizontal="center" vertical="center" wrapText="1"/>
    </xf>
    <xf numFmtId="0" fontId="113" fillId="56" borderId="187" xfId="8" applyFont="1" applyFill="1" applyBorder="1" applyAlignment="1" applyProtection="1">
      <alignment horizontal="right" vertical="center"/>
      <protection locked="0"/>
    </xf>
    <xf numFmtId="0" fontId="113" fillId="56" borderId="185" xfId="8" applyFont="1" applyFill="1" applyBorder="1" applyAlignment="1" applyProtection="1">
      <alignment horizontal="right" vertical="center"/>
      <protection locked="0"/>
    </xf>
    <xf numFmtId="0" fontId="107" fillId="60" borderId="178" xfId="8" applyFont="1" applyFill="1" applyBorder="1" applyAlignment="1">
      <alignment horizontal="right" vertical="center"/>
    </xf>
    <xf numFmtId="0" fontId="107" fillId="60" borderId="91" xfId="8" applyFont="1" applyFill="1" applyBorder="1" applyAlignment="1">
      <alignment horizontal="right" vertical="center"/>
    </xf>
    <xf numFmtId="0" fontId="107" fillId="60" borderId="181" xfId="8" applyFont="1" applyFill="1" applyBorder="1" applyAlignment="1">
      <alignment horizontal="right" vertical="center"/>
    </xf>
    <xf numFmtId="0" fontId="107" fillId="60" borderId="112" xfId="8" applyFont="1" applyFill="1" applyBorder="1" applyAlignment="1">
      <alignment horizontal="right" vertical="center"/>
    </xf>
    <xf numFmtId="0" fontId="107" fillId="60" borderId="0" xfId="8" applyFont="1" applyFill="1" applyAlignment="1">
      <alignment horizontal="right" vertical="center"/>
    </xf>
    <xf numFmtId="0" fontId="107" fillId="60" borderId="128" xfId="8" applyFont="1" applyFill="1" applyBorder="1" applyAlignment="1">
      <alignment horizontal="right" vertical="center"/>
    </xf>
    <xf numFmtId="0" fontId="107" fillId="60" borderId="113" xfId="8" applyFont="1" applyFill="1" applyBorder="1" applyAlignment="1">
      <alignment horizontal="right" vertical="center"/>
    </xf>
    <xf numFmtId="0" fontId="107" fillId="60" borderId="130" xfId="8" applyFont="1" applyFill="1" applyBorder="1" applyAlignment="1">
      <alignment horizontal="right" vertical="center"/>
    </xf>
    <xf numFmtId="0" fontId="107" fillId="60" borderId="129" xfId="8" applyFont="1" applyFill="1" applyBorder="1" applyAlignment="1">
      <alignment horizontal="right" vertical="center"/>
    </xf>
    <xf numFmtId="0" fontId="113" fillId="56" borderId="179" xfId="8" applyFont="1" applyFill="1" applyBorder="1" applyAlignment="1" applyProtection="1">
      <alignment horizontal="right" vertical="center"/>
      <protection locked="0"/>
    </xf>
    <xf numFmtId="0" fontId="113" fillId="56" borderId="141" xfId="8" applyFont="1" applyFill="1" applyBorder="1" applyAlignment="1" applyProtection="1">
      <alignment horizontal="right" vertical="center"/>
      <protection locked="0"/>
    </xf>
    <xf numFmtId="0" fontId="113" fillId="56" borderId="164" xfId="8" applyFont="1" applyFill="1" applyBorder="1" applyAlignment="1" applyProtection="1">
      <alignment horizontal="right" vertical="center"/>
      <protection locked="0"/>
    </xf>
    <xf numFmtId="0" fontId="113" fillId="56" borderId="129" xfId="8" applyFont="1" applyFill="1" applyBorder="1" applyAlignment="1" applyProtection="1">
      <alignment horizontal="right" vertical="center"/>
      <protection locked="0"/>
    </xf>
    <xf numFmtId="2" fontId="21" fillId="60" borderId="160" xfId="8" applyNumberFormat="1" applyFont="1" applyFill="1" applyBorder="1" applyAlignment="1">
      <alignment horizontal="right" vertical="center"/>
    </xf>
    <xf numFmtId="2" fontId="21" fillId="60" borderId="161" xfId="8" applyNumberFormat="1" applyFont="1" applyFill="1" applyBorder="1" applyAlignment="1">
      <alignment horizontal="right" vertical="center"/>
    </xf>
    <xf numFmtId="2" fontId="21" fillId="60" borderId="162" xfId="8" applyNumberFormat="1" applyFont="1" applyFill="1" applyBorder="1" applyAlignment="1">
      <alignment horizontal="right" vertical="center"/>
    </xf>
    <xf numFmtId="2" fontId="21" fillId="60" borderId="163" xfId="8" applyNumberFormat="1" applyFont="1" applyFill="1" applyBorder="1" applyAlignment="1">
      <alignment horizontal="right" vertical="center"/>
    </xf>
    <xf numFmtId="2" fontId="21" fillId="60" borderId="0" xfId="8" applyNumberFormat="1" applyFont="1" applyFill="1" applyAlignment="1">
      <alignment horizontal="right" vertical="center"/>
    </xf>
    <xf numFmtId="2" fontId="21" fillId="60" borderId="130" xfId="8" applyNumberFormat="1" applyFont="1" applyFill="1" applyBorder="1" applyAlignment="1">
      <alignment horizontal="right" vertical="center"/>
    </xf>
    <xf numFmtId="0" fontId="107" fillId="60" borderId="122" xfId="8" applyFont="1" applyFill="1" applyBorder="1" applyAlignment="1">
      <alignment horizontal="right" vertical="center"/>
    </xf>
    <xf numFmtId="0" fontId="107" fillId="60" borderId="163" xfId="8" applyFont="1" applyFill="1" applyBorder="1" applyAlignment="1">
      <alignment horizontal="right" vertical="center"/>
    </xf>
    <xf numFmtId="0" fontId="107" fillId="60" borderId="164" xfId="8" applyFont="1" applyFill="1" applyBorder="1" applyAlignment="1">
      <alignment horizontal="right" vertical="center"/>
    </xf>
    <xf numFmtId="0" fontId="113" fillId="60" borderId="112" xfId="8" applyFont="1" applyFill="1" applyBorder="1" applyAlignment="1">
      <alignment horizontal="right" vertical="center" wrapText="1"/>
    </xf>
    <xf numFmtId="0" fontId="113" fillId="60" borderId="0" xfId="8" applyFont="1" applyFill="1" applyAlignment="1">
      <alignment horizontal="right" vertical="center" wrapText="1"/>
    </xf>
    <xf numFmtId="0" fontId="113" fillId="60" borderId="128" xfId="8" applyFont="1" applyFill="1" applyBorder="1" applyAlignment="1">
      <alignment horizontal="right" vertical="center" wrapText="1"/>
    </xf>
    <xf numFmtId="0" fontId="107" fillId="60" borderId="177" xfId="8" applyFont="1" applyFill="1" applyBorder="1" applyAlignment="1">
      <alignment horizontal="right" vertical="center"/>
    </xf>
    <xf numFmtId="0" fontId="107" fillId="60" borderId="99" xfId="8" applyFont="1" applyFill="1" applyBorder="1" applyAlignment="1">
      <alignment horizontal="right" vertical="center"/>
    </xf>
    <xf numFmtId="0" fontId="107" fillId="60" borderId="180" xfId="8" applyFont="1" applyFill="1" applyBorder="1" applyAlignment="1">
      <alignment horizontal="right" vertical="center"/>
    </xf>
    <xf numFmtId="0" fontId="145" fillId="55" borderId="139" xfId="8" applyFont="1" applyFill="1" applyBorder="1" applyAlignment="1">
      <alignment horizontal="right" vertical="center"/>
    </xf>
    <xf numFmtId="0" fontId="145" fillId="55" borderId="140" xfId="8" applyFont="1" applyFill="1" applyBorder="1" applyAlignment="1">
      <alignment horizontal="right" vertical="center"/>
    </xf>
    <xf numFmtId="4" fontId="147" fillId="55" borderId="94" xfId="8" applyNumberFormat="1" applyFont="1" applyFill="1" applyBorder="1" applyAlignment="1">
      <alignment horizontal="right" vertical="center"/>
    </xf>
    <xf numFmtId="4" fontId="147" fillId="55" borderId="151" xfId="8" applyNumberFormat="1" applyFont="1" applyFill="1" applyBorder="1" applyAlignment="1">
      <alignment horizontal="right" vertical="center"/>
    </xf>
    <xf numFmtId="2" fontId="147" fillId="55" borderId="94" xfId="8" applyNumberFormat="1" applyFont="1" applyFill="1" applyBorder="1" applyAlignment="1">
      <alignment horizontal="right" vertical="center"/>
    </xf>
    <xf numFmtId="2" fontId="147" fillId="55" borderId="151" xfId="8" applyNumberFormat="1" applyFont="1" applyFill="1" applyBorder="1" applyAlignment="1">
      <alignment horizontal="right" vertical="center"/>
    </xf>
    <xf numFmtId="0" fontId="150" fillId="18" borderId="16" xfId="71" applyFont="1" applyFill="1" applyBorder="1" applyAlignment="1">
      <alignment horizontal="center"/>
    </xf>
    <xf numFmtId="0" fontId="150" fillId="18" borderId="17" xfId="71" applyFont="1" applyFill="1" applyBorder="1" applyAlignment="1">
      <alignment horizontal="center"/>
    </xf>
    <xf numFmtId="0" fontId="150" fillId="18" borderId="18" xfId="71" applyFont="1" applyFill="1" applyBorder="1" applyAlignment="1">
      <alignment horizontal="center"/>
    </xf>
    <xf numFmtId="0" fontId="143" fillId="54" borderId="19" xfId="8" applyFont="1" applyFill="1" applyBorder="1" applyAlignment="1">
      <alignment horizontal="center" vertical="center" wrapText="1"/>
    </xf>
    <xf numFmtId="0" fontId="143" fillId="54" borderId="109" xfId="8" applyFont="1" applyFill="1" applyBorder="1" applyAlignment="1">
      <alignment horizontal="center" vertical="center" wrapText="1"/>
    </xf>
    <xf numFmtId="0" fontId="143" fillId="54" borderId="193" xfId="8" applyFont="1" applyFill="1" applyBorder="1" applyAlignment="1">
      <alignment horizontal="center" vertical="center" wrapText="1"/>
    </xf>
    <xf numFmtId="0" fontId="144" fillId="54" borderId="124" xfId="8" applyFont="1" applyFill="1" applyBorder="1" applyAlignment="1">
      <alignment horizontal="center" vertical="top" wrapText="1"/>
    </xf>
    <xf numFmtId="0" fontId="143" fillId="54" borderId="124" xfId="8" applyFont="1" applyFill="1" applyBorder="1" applyAlignment="1">
      <alignment horizontal="center" vertical="top" wrapText="1"/>
    </xf>
    <xf numFmtId="0" fontId="143" fillId="54" borderId="125" xfId="8" applyFont="1" applyFill="1" applyBorder="1" applyAlignment="1">
      <alignment horizontal="center" vertical="top" wrapText="1"/>
    </xf>
    <xf numFmtId="0" fontId="144" fillId="54" borderId="95" xfId="8" applyFont="1" applyFill="1" applyBorder="1" applyAlignment="1">
      <alignment horizontal="center" vertical="center" wrapText="1"/>
    </xf>
    <xf numFmtId="0" fontId="143" fillId="54" borderId="165" xfId="8" applyFont="1" applyFill="1" applyBorder="1" applyAlignment="1">
      <alignment horizontal="center" vertical="center" wrapText="1"/>
    </xf>
    <xf numFmtId="0" fontId="144" fillId="54" borderId="127" xfId="8" applyFont="1" applyFill="1" applyBorder="1" applyAlignment="1">
      <alignment horizontal="center" vertical="center" wrapText="1"/>
    </xf>
    <xf numFmtId="0" fontId="143" fillId="54" borderId="133" xfId="8" applyFont="1" applyFill="1" applyBorder="1" applyAlignment="1">
      <alignment horizontal="center" vertical="center" wrapText="1"/>
    </xf>
    <xf numFmtId="0" fontId="144" fillId="54" borderId="90" xfId="8" applyFont="1" applyFill="1" applyBorder="1" applyAlignment="1">
      <alignment horizontal="center" vertical="center" wrapText="1"/>
    </xf>
    <xf numFmtId="0" fontId="143" fillId="54" borderId="128" xfId="8" applyFont="1" applyFill="1" applyBorder="1" applyAlignment="1">
      <alignment horizontal="center" vertical="center" wrapText="1"/>
    </xf>
    <xf numFmtId="0" fontId="143" fillId="54" borderId="97" xfId="8" applyFont="1" applyFill="1" applyBorder="1" applyAlignment="1">
      <alignment horizontal="center" vertical="center" wrapText="1"/>
    </xf>
    <xf numFmtId="0" fontId="143" fillId="54" borderId="129" xfId="8" applyFont="1" applyFill="1" applyBorder="1" applyAlignment="1">
      <alignment horizontal="center" vertical="center" wrapText="1"/>
    </xf>
    <xf numFmtId="0" fontId="144" fillId="54" borderId="130" xfId="8" applyFont="1" applyFill="1" applyBorder="1" applyAlignment="1">
      <alignment horizontal="center" vertical="center" wrapText="1"/>
    </xf>
    <xf numFmtId="0" fontId="143" fillId="54" borderId="137" xfId="8" applyFont="1" applyFill="1" applyBorder="1" applyAlignment="1">
      <alignment horizontal="center" vertical="center" wrapText="1"/>
    </xf>
    <xf numFmtId="0" fontId="144" fillId="0" borderId="0" xfId="8" applyFont="1" applyAlignment="1">
      <alignment horizontal="justify" wrapText="1"/>
    </xf>
    <xf numFmtId="0" fontId="143" fillId="0" borderId="0" xfId="8" applyFont="1" applyAlignment="1">
      <alignment horizontal="justify" wrapText="1"/>
    </xf>
    <xf numFmtId="0" fontId="142" fillId="0" borderId="0" xfId="8" applyFont="1" applyAlignment="1">
      <alignment horizontal="left" vertical="center" wrapText="1"/>
    </xf>
    <xf numFmtId="0" fontId="152" fillId="60" borderId="178" xfId="8" applyFont="1" applyFill="1" applyBorder="1" applyAlignment="1">
      <alignment horizontal="right" vertical="center"/>
    </xf>
    <xf numFmtId="0" fontId="152" fillId="60" borderId="91" xfId="8" applyFont="1" applyFill="1" applyBorder="1" applyAlignment="1">
      <alignment horizontal="right" vertical="center"/>
    </xf>
    <xf numFmtId="0" fontId="152" fillId="60" borderId="181" xfId="8" applyFont="1" applyFill="1" applyBorder="1" applyAlignment="1">
      <alignment horizontal="right" vertical="center"/>
    </xf>
    <xf numFmtId="0" fontId="143" fillId="56" borderId="179" xfId="8" applyFont="1" applyFill="1" applyBorder="1" applyAlignment="1" applyProtection="1">
      <alignment horizontal="right" vertical="center"/>
      <protection locked="0"/>
    </xf>
    <xf numFmtId="0" fontId="143" fillId="56" borderId="141" xfId="8" applyFont="1" applyFill="1" applyBorder="1" applyAlignment="1" applyProtection="1">
      <alignment horizontal="right" vertical="center"/>
      <protection locked="0"/>
    </xf>
    <xf numFmtId="0" fontId="143" fillId="56" borderId="187" xfId="8" applyFont="1" applyFill="1" applyBorder="1" applyAlignment="1" applyProtection="1">
      <alignment horizontal="right" vertical="center"/>
      <protection locked="0"/>
    </xf>
    <xf numFmtId="0" fontId="143" fillId="56" borderId="185" xfId="8" applyFont="1" applyFill="1" applyBorder="1" applyAlignment="1" applyProtection="1">
      <alignment horizontal="right" vertical="center"/>
      <protection locked="0"/>
    </xf>
    <xf numFmtId="0" fontId="152" fillId="60" borderId="112" xfId="8" applyFont="1" applyFill="1" applyBorder="1" applyAlignment="1">
      <alignment horizontal="right" vertical="center"/>
    </xf>
    <xf numFmtId="0" fontId="152" fillId="60" borderId="0" xfId="8" applyFont="1" applyFill="1" applyAlignment="1">
      <alignment horizontal="right" vertical="center"/>
    </xf>
    <xf numFmtId="0" fontId="152" fillId="60" borderId="128" xfId="8" applyFont="1" applyFill="1" applyBorder="1" applyAlignment="1">
      <alignment horizontal="right" vertical="center"/>
    </xf>
    <xf numFmtId="0" fontId="152" fillId="60" borderId="113" xfId="8" applyFont="1" applyFill="1" applyBorder="1" applyAlignment="1">
      <alignment horizontal="right" vertical="center"/>
    </xf>
    <xf numFmtId="0" fontId="152" fillId="60" borderId="130" xfId="8" applyFont="1" applyFill="1" applyBorder="1" applyAlignment="1">
      <alignment horizontal="right" vertical="center"/>
    </xf>
    <xf numFmtId="0" fontId="152" fillId="60" borderId="129" xfId="8" applyFont="1" applyFill="1" applyBorder="1" applyAlignment="1">
      <alignment horizontal="right" vertical="center"/>
    </xf>
    <xf numFmtId="0" fontId="143" fillId="56" borderId="164" xfId="8" applyFont="1" applyFill="1" applyBorder="1" applyAlignment="1" applyProtection="1">
      <alignment horizontal="right" vertical="center"/>
      <protection locked="0"/>
    </xf>
    <xf numFmtId="0" fontId="143" fillId="56" borderId="129" xfId="8" applyFont="1" applyFill="1" applyBorder="1" applyAlignment="1" applyProtection="1">
      <alignment horizontal="right" vertical="center"/>
      <protection locked="0"/>
    </xf>
    <xf numFmtId="0" fontId="152" fillId="60" borderId="122" xfId="8" applyFont="1" applyFill="1" applyBorder="1" applyAlignment="1">
      <alignment horizontal="right" vertical="center"/>
    </xf>
    <xf numFmtId="0" fontId="152" fillId="60" borderId="163" xfId="8" applyFont="1" applyFill="1" applyBorder="1" applyAlignment="1">
      <alignment horizontal="right" vertical="center"/>
    </xf>
    <xf numFmtId="0" fontId="152" fillId="60" borderId="164" xfId="8" applyFont="1" applyFill="1" applyBorder="1" applyAlignment="1">
      <alignment horizontal="right" vertical="center"/>
    </xf>
    <xf numFmtId="0" fontId="143" fillId="60" borderId="112" xfId="8" applyFont="1" applyFill="1" applyBorder="1" applyAlignment="1">
      <alignment horizontal="right" vertical="center" wrapText="1"/>
    </xf>
    <xf numFmtId="0" fontId="143" fillId="60" borderId="0" xfId="8" applyFont="1" applyFill="1" applyAlignment="1">
      <alignment horizontal="right" vertical="center" wrapText="1"/>
    </xf>
    <xf numFmtId="0" fontId="143" fillId="60" borderId="128" xfId="8" applyFont="1" applyFill="1" applyBorder="1" applyAlignment="1">
      <alignment horizontal="right" vertical="center" wrapText="1"/>
    </xf>
    <xf numFmtId="0" fontId="152" fillId="60" borderId="177" xfId="8" applyFont="1" applyFill="1" applyBorder="1" applyAlignment="1">
      <alignment horizontal="right" vertical="center"/>
    </xf>
    <xf numFmtId="0" fontId="152" fillId="60" borderId="99" xfId="8" applyFont="1" applyFill="1" applyBorder="1" applyAlignment="1">
      <alignment horizontal="right" vertical="center"/>
    </xf>
    <xf numFmtId="0" fontId="152" fillId="60" borderId="180" xfId="8" applyFont="1" applyFill="1" applyBorder="1" applyAlignment="1">
      <alignment horizontal="right" vertical="center"/>
    </xf>
    <xf numFmtId="2" fontId="147" fillId="60" borderId="160" xfId="8" applyNumberFormat="1" applyFont="1" applyFill="1" applyBorder="1" applyAlignment="1">
      <alignment horizontal="right" vertical="center"/>
    </xf>
    <xf numFmtId="2" fontId="147" fillId="60" borderId="161" xfId="8" applyNumberFormat="1" applyFont="1" applyFill="1" applyBorder="1" applyAlignment="1">
      <alignment horizontal="right" vertical="center"/>
    </xf>
    <xf numFmtId="2" fontId="147" fillId="60" borderId="162" xfId="8" applyNumberFormat="1" applyFont="1" applyFill="1" applyBorder="1" applyAlignment="1">
      <alignment horizontal="right" vertical="center"/>
    </xf>
    <xf numFmtId="2" fontId="147" fillId="60" borderId="163" xfId="8" applyNumberFormat="1" applyFont="1" applyFill="1" applyBorder="1" applyAlignment="1">
      <alignment horizontal="right" vertical="center"/>
    </xf>
    <xf numFmtId="2" fontId="147" fillId="60" borderId="0" xfId="8" applyNumberFormat="1" applyFont="1" applyFill="1" applyAlignment="1">
      <alignment horizontal="right" vertical="center"/>
    </xf>
    <xf numFmtId="2" fontId="147" fillId="60" borderId="130" xfId="8" applyNumberFormat="1" applyFont="1" applyFill="1" applyBorder="1" applyAlignment="1">
      <alignment horizontal="right" vertical="center"/>
    </xf>
    <xf numFmtId="0" fontId="144" fillId="54" borderId="138" xfId="8" applyFont="1" applyFill="1" applyBorder="1" applyAlignment="1">
      <alignment horizontal="center" vertical="center" wrapText="1"/>
    </xf>
    <xf numFmtId="0" fontId="143" fillId="54" borderId="126" xfId="8" applyFont="1" applyFill="1" applyBorder="1" applyAlignment="1">
      <alignment horizontal="center" vertical="center" wrapText="1"/>
    </xf>
    <xf numFmtId="0" fontId="143" fillId="54" borderId="131" xfId="8" applyFont="1" applyFill="1" applyBorder="1" applyAlignment="1">
      <alignment horizontal="center" vertical="center" wrapText="1"/>
    </xf>
    <xf numFmtId="0" fontId="143" fillId="54" borderId="171" xfId="8" applyFont="1" applyFill="1" applyBorder="1" applyAlignment="1">
      <alignment horizontal="center" vertical="center" wrapText="1"/>
    </xf>
    <xf numFmtId="0" fontId="153" fillId="54" borderId="168" xfId="8" applyFont="1" applyFill="1" applyBorder="1" applyAlignment="1">
      <alignment horizontal="center" vertical="center"/>
    </xf>
    <xf numFmtId="0" fontId="156" fillId="54" borderId="169" xfId="8" applyFont="1" applyFill="1" applyBorder="1" applyAlignment="1">
      <alignment horizontal="center" vertical="center"/>
    </xf>
    <xf numFmtId="0" fontId="156" fillId="54" borderId="170" xfId="8" applyFont="1" applyFill="1" applyBorder="1" applyAlignment="1">
      <alignment horizontal="center" vertical="center"/>
    </xf>
    <xf numFmtId="0" fontId="144" fillId="54" borderId="113" xfId="8" applyFont="1" applyFill="1" applyBorder="1" applyAlignment="1">
      <alignment horizontal="center" vertical="center" wrapText="1"/>
    </xf>
    <xf numFmtId="0" fontId="143" fillId="54" borderId="130" xfId="8" applyFont="1" applyFill="1" applyBorder="1" applyAlignment="1">
      <alignment horizontal="center" vertical="center" wrapText="1"/>
    </xf>
    <xf numFmtId="0" fontId="144" fillId="54" borderId="122" xfId="8" applyFont="1" applyFill="1" applyBorder="1" applyAlignment="1">
      <alignment horizontal="center" vertical="center" wrapText="1"/>
    </xf>
    <xf numFmtId="0" fontId="143" fillId="54" borderId="113" xfId="8" applyFont="1" applyFill="1" applyBorder="1" applyAlignment="1">
      <alignment horizontal="center" vertical="center" wrapText="1"/>
    </xf>
    <xf numFmtId="0" fontId="143" fillId="54" borderId="163" xfId="8" applyFont="1" applyFill="1" applyBorder="1" applyAlignment="1">
      <alignment horizontal="center" vertical="center" wrapText="1"/>
    </xf>
    <xf numFmtId="0" fontId="144" fillId="54" borderId="144" xfId="8" applyFont="1" applyFill="1" applyBorder="1" applyAlignment="1">
      <alignment horizontal="center" vertical="center" wrapText="1"/>
    </xf>
    <xf numFmtId="0" fontId="143" fillId="54" borderId="80" xfId="8" applyFont="1" applyFill="1" applyBorder="1" applyAlignment="1">
      <alignment horizontal="center" vertical="center" wrapText="1"/>
    </xf>
    <xf numFmtId="0" fontId="143" fillId="54" borderId="57" xfId="8" applyFont="1" applyFill="1" applyBorder="1" applyAlignment="1">
      <alignment horizontal="center" vertical="center" wrapText="1"/>
    </xf>
    <xf numFmtId="0" fontId="144" fillId="54" borderId="25" xfId="8" applyFont="1" applyFill="1" applyBorder="1" applyAlignment="1">
      <alignment horizontal="center" vertical="center" wrapText="1"/>
    </xf>
    <xf numFmtId="0" fontId="144" fillId="54" borderId="158" xfId="8" applyFont="1" applyFill="1" applyBorder="1" applyAlignment="1">
      <alignment horizontal="center" vertical="center" wrapText="1"/>
    </xf>
    <xf numFmtId="0" fontId="143" fillId="54" borderId="175" xfId="8" applyFont="1" applyFill="1" applyBorder="1" applyAlignment="1">
      <alignment horizontal="center" vertical="center" wrapText="1"/>
    </xf>
    <xf numFmtId="0" fontId="147" fillId="60" borderId="160" xfId="8" applyFont="1" applyFill="1" applyBorder="1" applyAlignment="1">
      <alignment horizontal="right" vertical="center"/>
    </xf>
    <xf numFmtId="0" fontId="147" fillId="60" borderId="161" xfId="8" applyFont="1" applyFill="1" applyBorder="1" applyAlignment="1">
      <alignment horizontal="right" vertical="center"/>
    </xf>
    <xf numFmtId="0" fontId="147" fillId="60" borderId="162" xfId="8" applyFont="1" applyFill="1" applyBorder="1" applyAlignment="1">
      <alignment horizontal="right" vertical="center"/>
    </xf>
    <xf numFmtId="0" fontId="147" fillId="60" borderId="163" xfId="8" applyFont="1" applyFill="1" applyBorder="1" applyAlignment="1">
      <alignment horizontal="right" vertical="center"/>
    </xf>
    <xf numFmtId="0" fontId="147" fillId="60" borderId="0" xfId="8" applyFont="1" applyFill="1" applyAlignment="1">
      <alignment horizontal="right" vertical="center"/>
    </xf>
    <xf numFmtId="0" fontId="147" fillId="60" borderId="130" xfId="8" applyFont="1" applyFill="1" applyBorder="1" applyAlignment="1">
      <alignment horizontal="right" vertical="center"/>
    </xf>
    <xf numFmtId="0" fontId="153" fillId="54" borderId="138" xfId="8" applyFont="1" applyFill="1" applyBorder="1" applyAlignment="1">
      <alignment horizontal="center" vertical="center" wrapText="1"/>
    </xf>
    <xf numFmtId="0" fontId="153" fillId="54" borderId="126" xfId="8" applyFont="1" applyFill="1" applyBorder="1" applyAlignment="1">
      <alignment horizontal="center" vertical="center" wrapText="1"/>
    </xf>
    <xf numFmtId="0" fontId="153" fillId="54" borderId="156" xfId="8" applyFont="1" applyFill="1" applyBorder="1" applyAlignment="1">
      <alignment horizontal="center" vertical="center" wrapText="1"/>
    </xf>
    <xf numFmtId="0" fontId="153" fillId="54" borderId="123" xfId="8" applyFont="1" applyFill="1" applyBorder="1" applyAlignment="1">
      <alignment horizontal="center" vertical="center" wrapText="1"/>
    </xf>
    <xf numFmtId="0" fontId="153" fillId="54" borderId="124" xfId="8" applyFont="1" applyFill="1" applyBorder="1" applyAlignment="1">
      <alignment horizontal="center" vertical="center" wrapText="1"/>
    </xf>
    <xf numFmtId="0" fontId="153" fillId="54" borderId="125" xfId="8" applyFont="1" applyFill="1" applyBorder="1" applyAlignment="1">
      <alignment horizontal="center" vertical="center" wrapText="1"/>
    </xf>
    <xf numFmtId="0" fontId="144" fillId="54" borderId="191" xfId="8" applyFont="1" applyFill="1" applyBorder="1" applyAlignment="1">
      <alignment horizontal="center" vertical="center" wrapText="1"/>
    </xf>
    <xf numFmtId="0" fontId="144" fillId="54" borderId="132" xfId="8" applyFont="1" applyFill="1" applyBorder="1" applyAlignment="1">
      <alignment horizontal="center" vertical="center" wrapText="1"/>
    </xf>
    <xf numFmtId="0" fontId="144" fillId="54" borderId="190" xfId="8" applyFont="1" applyFill="1" applyBorder="1" applyAlignment="1">
      <alignment horizontal="center" vertical="center" wrapText="1"/>
    </xf>
    <xf numFmtId="0" fontId="144" fillId="54" borderId="133" xfId="8" applyFont="1" applyFill="1" applyBorder="1" applyAlignment="1">
      <alignment horizontal="center" vertical="center" wrapText="1"/>
    </xf>
    <xf numFmtId="0" fontId="144" fillId="54" borderId="188" xfId="8" applyFont="1" applyFill="1" applyBorder="1" applyAlignment="1">
      <alignment horizontal="center" vertical="center" wrapText="1"/>
    </xf>
    <xf numFmtId="0" fontId="144" fillId="54" borderId="139" xfId="8" applyFont="1" applyFill="1" applyBorder="1" applyAlignment="1">
      <alignment horizontal="center" vertical="center" wrapText="1"/>
    </xf>
    <xf numFmtId="0" fontId="144" fillId="54" borderId="189" xfId="8" applyFont="1" applyFill="1" applyBorder="1" applyAlignment="1">
      <alignment horizontal="center" vertical="center" wrapText="1"/>
    </xf>
    <xf numFmtId="0" fontId="144" fillId="54" borderId="140" xfId="8" applyFont="1" applyFill="1" applyBorder="1" applyAlignment="1">
      <alignment horizontal="center" vertical="center" wrapText="1"/>
    </xf>
    <xf numFmtId="0" fontId="144" fillId="54" borderId="131" xfId="8" applyFont="1" applyFill="1" applyBorder="1" applyAlignment="1">
      <alignment horizontal="center" vertical="center" wrapText="1"/>
    </xf>
    <xf numFmtId="0" fontId="153" fillId="54" borderId="123" xfId="8" applyFont="1" applyFill="1" applyBorder="1" applyAlignment="1">
      <alignment horizontal="center" vertical="top" wrapText="1"/>
    </xf>
    <xf numFmtId="0" fontId="153" fillId="54" borderId="124" xfId="8" applyFont="1" applyFill="1" applyBorder="1" applyAlignment="1">
      <alignment horizontal="center" vertical="top" wrapText="1"/>
    </xf>
    <xf numFmtId="0" fontId="153" fillId="54" borderId="125" xfId="8" applyFont="1" applyFill="1" applyBorder="1" applyAlignment="1">
      <alignment horizontal="center" vertical="top" wrapText="1"/>
    </xf>
    <xf numFmtId="2" fontId="67" fillId="0" borderId="84" xfId="0" applyNumberFormat="1" applyFont="1" applyBorder="1" applyAlignment="1">
      <alignment horizontal="center" vertical="center" wrapText="1"/>
    </xf>
    <xf numFmtId="0" fontId="67" fillId="0" borderId="87" xfId="0" applyFont="1" applyBorder="1" applyAlignment="1">
      <alignment horizontal="center" vertical="center" wrapText="1"/>
    </xf>
    <xf numFmtId="0" fontId="67" fillId="0" borderId="31" xfId="0" applyFont="1" applyBorder="1" applyAlignment="1">
      <alignment horizontal="center" vertical="center" wrapText="1"/>
    </xf>
    <xf numFmtId="0" fontId="64" fillId="0" borderId="84" xfId="0" applyFont="1" applyBorder="1" applyAlignment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2" fontId="66" fillId="0" borderId="78" xfId="0" applyNumberFormat="1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 wrapText="1"/>
    </xf>
    <xf numFmtId="0" fontId="64" fillId="0" borderId="78" xfId="0" applyFont="1" applyBorder="1" applyAlignment="1">
      <alignment horizontal="center" vertical="center" wrapText="1"/>
    </xf>
    <xf numFmtId="2" fontId="64" fillId="0" borderId="78" xfId="0" applyNumberFormat="1" applyFont="1" applyBorder="1" applyAlignment="1">
      <alignment horizontal="center" vertical="center" wrapText="1"/>
    </xf>
    <xf numFmtId="0" fontId="19" fillId="18" borderId="16" xfId="0" applyFont="1" applyFill="1" applyBorder="1" applyAlignment="1">
      <alignment horizontal="left"/>
    </xf>
    <xf numFmtId="0" fontId="19" fillId="18" borderId="17" xfId="0" applyFont="1" applyFill="1" applyBorder="1" applyAlignment="1">
      <alignment horizontal="left"/>
    </xf>
    <xf numFmtId="0" fontId="19" fillId="18" borderId="18" xfId="0" applyFont="1" applyFill="1" applyBorder="1" applyAlignment="1">
      <alignment horizontal="left"/>
    </xf>
    <xf numFmtId="0" fontId="35" fillId="18" borderId="16" xfId="0" applyFont="1" applyFill="1" applyBorder="1" applyAlignment="1">
      <alignment horizontal="left" wrapText="1"/>
    </xf>
    <xf numFmtId="0" fontId="35" fillId="18" borderId="17" xfId="0" applyFont="1" applyFill="1" applyBorder="1" applyAlignment="1">
      <alignment horizontal="left" wrapText="1"/>
    </xf>
    <xf numFmtId="0" fontId="35" fillId="18" borderId="18" xfId="0" applyFont="1" applyFill="1" applyBorder="1" applyAlignment="1">
      <alignment horizontal="left" wrapText="1"/>
    </xf>
    <xf numFmtId="0" fontId="73" fillId="66" borderId="105" xfId="0" applyFont="1" applyFill="1" applyBorder="1" applyAlignment="1">
      <alignment horizontal="center" vertical="center" wrapText="1"/>
    </xf>
    <xf numFmtId="0" fontId="73" fillId="67" borderId="105" xfId="0" applyFont="1" applyFill="1" applyBorder="1" applyAlignment="1">
      <alignment horizontal="center" vertical="center" wrapText="1"/>
    </xf>
    <xf numFmtId="0" fontId="73" fillId="52" borderId="105" xfId="0" applyFont="1" applyFill="1" applyBorder="1" applyAlignment="1">
      <alignment horizontal="center" vertical="center" wrapText="1"/>
    </xf>
    <xf numFmtId="0" fontId="74" fillId="52" borderId="105" xfId="0" applyFont="1" applyFill="1" applyBorder="1" applyAlignment="1">
      <alignment horizontal="center" vertical="center" wrapText="1"/>
    </xf>
    <xf numFmtId="0" fontId="0" fillId="0" borderId="95" xfId="0" applyBorder="1" applyAlignment="1">
      <alignment horizontal="center"/>
    </xf>
    <xf numFmtId="2" fontId="125" fillId="0" borderId="108" xfId="0" applyNumberFormat="1" applyFont="1" applyBorder="1" applyAlignment="1">
      <alignment horizontal="center" vertical="center" wrapText="1"/>
    </xf>
    <xf numFmtId="2" fontId="125" fillId="0" borderId="87" xfId="0" applyNumberFormat="1" applyFont="1" applyBorder="1" applyAlignment="1">
      <alignment horizontal="center" vertical="center" wrapText="1"/>
    </xf>
    <xf numFmtId="2" fontId="125" fillId="0" borderId="31" xfId="0" applyNumberFormat="1" applyFont="1" applyBorder="1" applyAlignment="1">
      <alignment horizontal="center" vertical="center" wrapText="1"/>
    </xf>
    <xf numFmtId="0" fontId="125" fillId="0" borderId="108" xfId="0" applyFont="1" applyBorder="1" applyAlignment="1">
      <alignment horizontal="center" vertical="center" wrapText="1"/>
    </xf>
    <xf numFmtId="0" fontId="125" fillId="0" borderId="31" xfId="0" applyFont="1" applyBorder="1" applyAlignment="1">
      <alignment horizontal="center" vertical="center" wrapText="1"/>
    </xf>
    <xf numFmtId="0" fontId="125" fillId="0" borderId="87" xfId="0" applyFont="1" applyBorder="1" applyAlignment="1">
      <alignment horizontal="center" vertical="center" wrapText="1"/>
    </xf>
    <xf numFmtId="2" fontId="163" fillId="0" borderId="108" xfId="0" applyNumberFormat="1" applyFont="1" applyBorder="1" applyAlignment="1">
      <alignment horizontal="center" vertical="center" wrapText="1"/>
    </xf>
    <xf numFmtId="2" fontId="163" fillId="0" borderId="87" xfId="0" applyNumberFormat="1" applyFont="1" applyBorder="1" applyAlignment="1">
      <alignment horizontal="center" vertical="center" wrapText="1"/>
    </xf>
    <xf numFmtId="2" fontId="163" fillId="0" borderId="31" xfId="0" applyNumberFormat="1" applyFont="1" applyBorder="1" applyAlignment="1">
      <alignment horizontal="center" vertical="center" wrapText="1"/>
    </xf>
    <xf numFmtId="0" fontId="125" fillId="0" borderId="78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/>
    </xf>
    <xf numFmtId="0" fontId="160" fillId="18" borderId="16" xfId="71" applyFont="1" applyFill="1" applyBorder="1" applyAlignment="1">
      <alignment horizontal="center"/>
    </xf>
    <xf numFmtId="0" fontId="160" fillId="18" borderId="17" xfId="71" applyFont="1" applyFill="1" applyBorder="1" applyAlignment="1">
      <alignment horizontal="center"/>
    </xf>
    <xf numFmtId="0" fontId="160" fillId="18" borderId="18" xfId="71" applyFont="1" applyFill="1" applyBorder="1" applyAlignment="1">
      <alignment horizontal="center"/>
    </xf>
    <xf numFmtId="0" fontId="19" fillId="0" borderId="78" xfId="0" applyFont="1" applyBorder="1" applyAlignment="1">
      <alignment horizontal="center" vertical="center" wrapText="1"/>
    </xf>
    <xf numFmtId="0" fontId="56" fillId="0" borderId="78" xfId="0" applyFont="1" applyBorder="1" applyAlignment="1">
      <alignment horizontal="center" vertical="center" wrapText="1"/>
    </xf>
    <xf numFmtId="2" fontId="56" fillId="0" borderId="78" xfId="0" applyNumberFormat="1" applyFont="1" applyBorder="1" applyAlignment="1">
      <alignment horizontal="center" vertical="center" wrapText="1"/>
    </xf>
    <xf numFmtId="0" fontId="56" fillId="0" borderId="84" xfId="0" applyFont="1" applyBorder="1" applyAlignment="1">
      <alignment horizontal="center" vertical="center" wrapText="1"/>
    </xf>
    <xf numFmtId="0" fontId="56" fillId="0" borderId="31" xfId="0" applyFont="1" applyBorder="1" applyAlignment="1">
      <alignment horizontal="center" vertical="center" wrapText="1"/>
    </xf>
    <xf numFmtId="0" fontId="62" fillId="18" borderId="16" xfId="71" applyFont="1" applyFill="1" applyBorder="1" applyAlignment="1">
      <alignment horizontal="center"/>
    </xf>
    <xf numFmtId="0" fontId="62" fillId="18" borderId="17" xfId="71" applyFont="1" applyFill="1" applyBorder="1" applyAlignment="1">
      <alignment horizontal="center"/>
    </xf>
    <xf numFmtId="0" fontId="62" fillId="18" borderId="18" xfId="71" applyFont="1" applyFill="1" applyBorder="1" applyAlignment="1">
      <alignment horizontal="center"/>
    </xf>
    <xf numFmtId="0" fontId="169" fillId="18" borderId="7" xfId="0" applyFont="1" applyFill="1" applyBorder="1" applyAlignment="1">
      <alignment horizontal="center" vertical="center" wrapText="1"/>
    </xf>
    <xf numFmtId="0" fontId="94" fillId="0" borderId="19" xfId="76" applyFont="1" applyBorder="1" applyAlignment="1">
      <alignment horizontal="center" vertical="center" wrapText="1"/>
    </xf>
    <xf numFmtId="0" fontId="94" fillId="0" borderId="20" xfId="76" applyFont="1" applyBorder="1" applyAlignment="1">
      <alignment horizontal="center" vertical="center" wrapText="1"/>
    </xf>
    <xf numFmtId="0" fontId="98" fillId="0" borderId="19" xfId="76" applyFont="1" applyBorder="1" applyAlignment="1">
      <alignment horizontal="center" vertical="center"/>
    </xf>
    <xf numFmtId="0" fontId="98" fillId="0" borderId="20" xfId="76" applyFont="1" applyBorder="1" applyAlignment="1">
      <alignment horizontal="center" vertical="center"/>
    </xf>
    <xf numFmtId="0" fontId="98" fillId="0" borderId="19" xfId="76" applyFont="1" applyBorder="1" applyAlignment="1">
      <alignment horizontal="center" vertical="center" wrapText="1"/>
    </xf>
    <xf numFmtId="0" fontId="98" fillId="0" borderId="20" xfId="76" applyFont="1" applyBorder="1" applyAlignment="1">
      <alignment horizontal="center" vertical="center" wrapText="1"/>
    </xf>
    <xf numFmtId="2" fontId="94" fillId="52" borderId="19" xfId="76" applyNumberFormat="1" applyFont="1" applyFill="1" applyBorder="1" applyAlignment="1">
      <alignment horizontal="center" vertical="center" wrapText="1"/>
    </xf>
    <xf numFmtId="2" fontId="94" fillId="52" borderId="20" xfId="76" applyNumberFormat="1" applyFont="1" applyFill="1" applyBorder="1" applyAlignment="1">
      <alignment horizontal="center" vertical="center" wrapText="1"/>
    </xf>
    <xf numFmtId="2" fontId="19" fillId="0" borderId="19" xfId="76" applyNumberFormat="1" applyFont="1" applyBorder="1" applyAlignment="1">
      <alignment horizontal="center" vertical="center" wrapText="1"/>
    </xf>
    <xf numFmtId="2" fontId="19" fillId="0" borderId="20" xfId="76" applyNumberFormat="1" applyFont="1" applyBorder="1" applyAlignment="1">
      <alignment horizontal="center" vertical="center" wrapText="1"/>
    </xf>
    <xf numFmtId="0" fontId="103" fillId="0" borderId="19" xfId="76" applyFont="1" applyBorder="1" applyAlignment="1">
      <alignment horizontal="center" vertical="center" wrapText="1"/>
    </xf>
    <xf numFmtId="0" fontId="103" fillId="0" borderId="20" xfId="76" applyFont="1" applyBorder="1" applyAlignment="1">
      <alignment horizontal="center" vertical="center" wrapText="1"/>
    </xf>
    <xf numFmtId="0" fontId="73" fillId="52" borderId="19" xfId="76" applyFont="1" applyFill="1" applyBorder="1" applyAlignment="1">
      <alignment horizontal="center" vertical="center" wrapText="1"/>
    </xf>
    <xf numFmtId="0" fontId="73" fillId="52" borderId="20" xfId="76" applyFont="1" applyFill="1" applyBorder="1" applyAlignment="1">
      <alignment horizontal="center" vertical="center" wrapText="1"/>
    </xf>
    <xf numFmtId="0" fontId="73" fillId="0" borderId="0" xfId="76" applyFont="1" applyAlignment="1">
      <alignment horizontal="center" vertical="center" wrapText="1"/>
    </xf>
    <xf numFmtId="0" fontId="69" fillId="0" borderId="19" xfId="76" applyFont="1" applyBorder="1" applyAlignment="1">
      <alignment horizontal="center" vertical="center"/>
    </xf>
    <xf numFmtId="0" fontId="69" fillId="0" borderId="109" xfId="76" applyFont="1" applyBorder="1" applyAlignment="1">
      <alignment horizontal="center" vertical="center"/>
    </xf>
    <xf numFmtId="0" fontId="69" fillId="0" borderId="20" xfId="76" applyFont="1" applyBorder="1" applyAlignment="1">
      <alignment horizontal="center" vertical="center"/>
    </xf>
    <xf numFmtId="0" fontId="63" fillId="0" borderId="19" xfId="76" applyFont="1" applyBorder="1" applyAlignment="1">
      <alignment horizontal="center" vertical="center" wrapText="1"/>
    </xf>
    <xf numFmtId="0" fontId="63" fillId="0" borderId="20" xfId="76" applyFont="1" applyBorder="1" applyAlignment="1">
      <alignment horizontal="center" vertical="center" wrapText="1"/>
    </xf>
    <xf numFmtId="0" fontId="69" fillId="0" borderId="19" xfId="76" applyFont="1" applyBorder="1" applyAlignment="1">
      <alignment horizontal="center" vertical="center" wrapText="1"/>
    </xf>
    <xf numFmtId="0" fontId="69" fillId="0" borderId="109" xfId="76" applyFont="1" applyBorder="1" applyAlignment="1">
      <alignment horizontal="center" vertical="center" wrapText="1"/>
    </xf>
    <xf numFmtId="0" fontId="69" fillId="0" borderId="20" xfId="76" applyFont="1" applyBorder="1" applyAlignment="1">
      <alignment horizontal="center" vertical="center" wrapText="1"/>
    </xf>
    <xf numFmtId="0" fontId="69" fillId="0" borderId="8" xfId="76" applyFont="1" applyBorder="1" applyAlignment="1">
      <alignment horizontal="center" vertical="center" wrapText="1"/>
    </xf>
    <xf numFmtId="0" fontId="69" fillId="0" borderId="94" xfId="76" applyFont="1" applyBorder="1" applyAlignment="1">
      <alignment horizontal="center" vertical="center" wrapText="1"/>
    </xf>
    <xf numFmtId="0" fontId="69" fillId="0" borderId="9" xfId="76" applyFont="1" applyBorder="1" applyAlignment="1">
      <alignment horizontal="center" vertical="center" wrapText="1"/>
    </xf>
    <xf numFmtId="0" fontId="69" fillId="0" borderId="91" xfId="76" applyFont="1" applyBorder="1" applyAlignment="1">
      <alignment horizontal="center" vertical="center" wrapText="1"/>
    </xf>
    <xf numFmtId="0" fontId="69" fillId="0" borderId="0" xfId="76" applyFont="1" applyAlignment="1">
      <alignment horizontal="center" vertical="center" wrapText="1"/>
    </xf>
    <xf numFmtId="0" fontId="69" fillId="0" borderId="99" xfId="76" applyFont="1" applyBorder="1" applyAlignment="1">
      <alignment horizontal="center" vertical="center" wrapText="1"/>
    </xf>
    <xf numFmtId="0" fontId="69" fillId="0" borderId="56" xfId="76" applyFont="1" applyBorder="1" applyAlignment="1">
      <alignment horizontal="center" vertical="center" wrapText="1"/>
    </xf>
    <xf numFmtId="0" fontId="69" fillId="0" borderId="80" xfId="76" applyFont="1" applyBorder="1" applyAlignment="1">
      <alignment horizontal="center" vertical="center" wrapText="1"/>
    </xf>
    <xf numFmtId="0" fontId="69" fillId="0" borderId="57" xfId="76" applyFont="1" applyBorder="1" applyAlignment="1">
      <alignment horizontal="center" vertical="center" wrapText="1"/>
    </xf>
    <xf numFmtId="0" fontId="74" fillId="0" borderId="105" xfId="0" applyFont="1" applyFill="1" applyBorder="1" applyAlignment="1">
      <alignment horizontal="center" vertical="center" wrapText="1"/>
    </xf>
    <xf numFmtId="0" fontId="74" fillId="0" borderId="212" xfId="0" applyFont="1" applyFill="1" applyBorder="1" applyAlignment="1">
      <alignment horizontal="center" vertical="center" wrapText="1"/>
    </xf>
    <xf numFmtId="2" fontId="167" fillId="0" borderId="105" xfId="0" applyNumberFormat="1" applyFont="1" applyFill="1" applyBorder="1" applyAlignment="1">
      <alignment horizontal="center" vertical="center" wrapText="1"/>
    </xf>
    <xf numFmtId="2" fontId="75" fillId="0" borderId="28" xfId="71" applyNumberFormat="1" applyFont="1" applyBorder="1" applyAlignment="1">
      <alignment horizontal="center" vertical="center"/>
    </xf>
    <xf numFmtId="2" fontId="75" fillId="0" borderId="105" xfId="71" applyNumberFormat="1" applyFont="1" applyBorder="1" applyAlignment="1">
      <alignment horizontal="center" vertical="center"/>
    </xf>
    <xf numFmtId="2" fontId="75" fillId="0" borderId="103" xfId="71" applyNumberFormat="1" applyFont="1" applyBorder="1" applyAlignment="1">
      <alignment horizontal="center" vertical="center"/>
    </xf>
    <xf numFmtId="2" fontId="75" fillId="0" borderId="27" xfId="71" applyNumberFormat="1" applyFont="1" applyBorder="1" applyAlignment="1">
      <alignment horizontal="center" vertical="center"/>
    </xf>
    <xf numFmtId="2" fontId="75" fillId="0" borderId="107" xfId="71" applyNumberFormat="1" applyFont="1" applyBorder="1" applyAlignment="1">
      <alignment horizontal="center" vertical="center"/>
    </xf>
    <xf numFmtId="2" fontId="75" fillId="0" borderId="102" xfId="71" applyNumberFormat="1" applyFont="1" applyBorder="1" applyAlignment="1">
      <alignment horizontal="center" vertical="center"/>
    </xf>
    <xf numFmtId="178" fontId="128" fillId="0" borderId="80" xfId="0" applyNumberFormat="1" applyFont="1" applyBorder="1" applyProtection="1">
      <protection hidden="1"/>
    </xf>
    <xf numFmtId="176" fontId="130" fillId="0" borderId="114" xfId="0" applyNumberFormat="1" applyFont="1" applyBorder="1" applyProtection="1">
      <protection hidden="1"/>
    </xf>
    <xf numFmtId="2" fontId="128" fillId="0" borderId="214" xfId="0" applyNumberFormat="1" applyFont="1" applyBorder="1" applyAlignment="1" applyProtection="1">
      <alignment vertical="center"/>
      <protection hidden="1"/>
    </xf>
    <xf numFmtId="2" fontId="75" fillId="0" borderId="212" xfId="71" applyNumberFormat="1" applyFont="1" applyBorder="1" applyAlignment="1">
      <alignment horizontal="center" vertical="center"/>
    </xf>
  </cellXfs>
  <cellStyles count="85">
    <cellStyle name="20% - akcent 1" xfId="42" builtinId="30" customBuiltin="1"/>
    <cellStyle name="20% - akcent 2" xfId="46" builtinId="34" customBuiltin="1"/>
    <cellStyle name="20% - akcent 3" xfId="50" builtinId="38" customBuiltin="1"/>
    <cellStyle name="20% - akcent 4" xfId="54" builtinId="42" customBuiltin="1"/>
    <cellStyle name="20% - akcent 5" xfId="58" builtinId="46" customBuiltin="1"/>
    <cellStyle name="20% - akcent 6" xfId="62" builtinId="50" customBuiltin="1"/>
    <cellStyle name="40% - akcent 1" xfId="43" builtinId="31" customBuiltin="1"/>
    <cellStyle name="40% - akcent 2" xfId="47" builtinId="35" customBuiltin="1"/>
    <cellStyle name="40% - akcent 3" xfId="51" builtinId="39" customBuiltin="1"/>
    <cellStyle name="40% - akcent 4" xfId="55" builtinId="43" customBuiltin="1"/>
    <cellStyle name="40% - akcent 5" xfId="59" builtinId="47" customBuiltin="1"/>
    <cellStyle name="40% - akcent 6" xfId="63" builtinId="51" customBuiltin="1"/>
    <cellStyle name="60% - akcent 1" xfId="44" builtinId="32" customBuiltin="1"/>
    <cellStyle name="60% - akcent 2" xfId="48" builtinId="36" customBuiltin="1"/>
    <cellStyle name="60% - akcent 3" xfId="52" builtinId="40" customBuiltin="1"/>
    <cellStyle name="60% - akcent 4" xfId="56" builtinId="44" customBuiltin="1"/>
    <cellStyle name="60% - akcent 5" xfId="60" builtinId="48" customBuiltin="1"/>
    <cellStyle name="60% - akcent 6" xfId="64" builtinId="52" customBuiltin="1"/>
    <cellStyle name="Akcent 1" xfId="41" builtinId="29" customBuiltin="1"/>
    <cellStyle name="Akcent 2" xfId="45" builtinId="33" customBuiltin="1"/>
    <cellStyle name="Akcent 3" xfId="49" builtinId="37" customBuiltin="1"/>
    <cellStyle name="Akcent 4" xfId="53" builtinId="41" customBuiltin="1"/>
    <cellStyle name="Akcent 5" xfId="57" builtinId="45" customBuiltin="1"/>
    <cellStyle name="Akcent 6" xfId="61" builtinId="49" customBuiltin="1"/>
    <cellStyle name="Dane wejściowe" xfId="33" builtinId="20" customBuiltin="1"/>
    <cellStyle name="Dane wyjściowe" xfId="34" builtinId="21" customBuiltin="1"/>
    <cellStyle name="Dobre" xfId="30" builtinId="26" customBuiltin="1"/>
    <cellStyle name="Dziesiętny" xfId="13" builtinId="3"/>
    <cellStyle name="Dziesiętny 2" xfId="2"/>
    <cellStyle name="Dziesiętny 2 2" xfId="74"/>
    <cellStyle name="Dziesiętny 3" xfId="3"/>
    <cellStyle name="Dziesiętny 3 2" xfId="75"/>
    <cellStyle name="Dziesiętny 4" xfId="15"/>
    <cellStyle name="Dziesiętny 5" xfId="19"/>
    <cellStyle name="Dziesiętny 5 2" xfId="83"/>
    <cellStyle name="Dziesiętny 6" xfId="80"/>
    <cellStyle name="Excel Built-in Normal" xfId="1"/>
    <cellStyle name="Heading" xfId="21"/>
    <cellStyle name="Heading1" xfId="22"/>
    <cellStyle name="Komórka połączona" xfId="36" builtinId="24" customBuiltin="1"/>
    <cellStyle name="Komórka zaznaczona" xfId="37" builtinId="23" customBuiltin="1"/>
    <cellStyle name="Nagłówek 1" xfId="26" builtinId="16" customBuiltin="1"/>
    <cellStyle name="Nagłówek 2" xfId="27" builtinId="17" customBuiltin="1"/>
    <cellStyle name="Nagłówek 3" xfId="28" builtinId="18" customBuiltin="1"/>
    <cellStyle name="Nagłówek 4" xfId="29" builtinId="19" customBuiltin="1"/>
    <cellStyle name="Neutralne" xfId="32" builtinId="28" customBuiltin="1"/>
    <cellStyle name="Normalny" xfId="0" builtinId="0"/>
    <cellStyle name="Normalny 2" xfId="4"/>
    <cellStyle name="Normalny 2 2" xfId="5"/>
    <cellStyle name="Normalny 2 3" xfId="6"/>
    <cellStyle name="Normalny 2 4" xfId="7"/>
    <cellStyle name="Normalny 2 4 2" xfId="76"/>
    <cellStyle name="Normalny 2 5" xfId="71"/>
    <cellStyle name="Normalny 2 6" xfId="73"/>
    <cellStyle name="Normalny 3" xfId="8"/>
    <cellStyle name="Normalny 3 2" xfId="77"/>
    <cellStyle name="Normalny 4" xfId="9"/>
    <cellStyle name="Normalny 4 2" xfId="78"/>
    <cellStyle name="Normalny 5" xfId="14"/>
    <cellStyle name="Normalny 6" xfId="18"/>
    <cellStyle name="Normalny 6 2" xfId="68"/>
    <cellStyle name="Normalny 6 3" xfId="67"/>
    <cellStyle name="Normalny 6 3 2" xfId="69"/>
    <cellStyle name="Normalny 6 4" xfId="82"/>
    <cellStyle name="Normalny 7" xfId="65"/>
    <cellStyle name="Normalny 8" xfId="70"/>
    <cellStyle name="Normalny 9" xfId="72"/>
    <cellStyle name="Obliczenia" xfId="35" builtinId="22" customBuiltin="1"/>
    <cellStyle name="Procentowy" xfId="17" builtinId="5"/>
    <cellStyle name="Procentowy 2" xfId="10"/>
    <cellStyle name="Procentowy 3" xfId="20"/>
    <cellStyle name="Procentowy 3 2" xfId="84"/>
    <cellStyle name="Result" xfId="23"/>
    <cellStyle name="Result2" xfId="24"/>
    <cellStyle name="Standard_IB Finanzierung Basic" xfId="11"/>
    <cellStyle name="Suma" xfId="40" builtinId="25" customBuiltin="1"/>
    <cellStyle name="Tekst objaśnienia" xfId="39" builtinId="53" customBuiltin="1"/>
    <cellStyle name="Tekst ostrzeżenia" xfId="38" builtinId="11" customBuiltin="1"/>
    <cellStyle name="Tytuł" xfId="25" builtinId="15" customBuiltin="1"/>
    <cellStyle name="Uwaga 2" xfId="66"/>
    <cellStyle name="Walutowy" xfId="16" builtinId="4"/>
    <cellStyle name="Walutowy 2" xfId="12"/>
    <cellStyle name="Walutowy 2 2" xfId="79"/>
    <cellStyle name="Walutowy 3" xfId="81"/>
    <cellStyle name="Złe" xfId="31" builtinId="27" customBuiltin="1"/>
  </cellStyles>
  <dxfs count="0"/>
  <tableStyles count="0" defaultTableStyle="TableStyleMedium9" defaultPivotStyle="PivotStyleLight16"/>
  <colors>
    <mruColors>
      <color rgb="FFE0E002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4"/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mieszkańców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Charakterystyka_2020!$B$7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Ref>
              <c:f>Charakterystyka_2020!$L$8:$Q$8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Charakterystyka_2020!$L$9:$Q$9</c:f>
              <c:numCache>
                <c:formatCode>#,##0</c:formatCode>
                <c:ptCount val="6"/>
                <c:pt idx="0" formatCode="General">
                  <c:v>10719</c:v>
                </c:pt>
                <c:pt idx="1">
                  <c:v>10683</c:v>
                </c:pt>
                <c:pt idx="2">
                  <c:v>10526</c:v>
                </c:pt>
                <c:pt idx="3">
                  <c:v>10586</c:v>
                </c:pt>
                <c:pt idx="4">
                  <c:v>10596</c:v>
                </c:pt>
                <c:pt idx="5">
                  <c:v>10618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88-4D3E-9572-1FE35003C531}"/>
            </c:ext>
          </c:extLst>
        </c:ser>
        <c:axId val="144315520"/>
        <c:axId val="144317056"/>
      </c:barChart>
      <c:catAx>
        <c:axId val="144315520"/>
        <c:scaling>
          <c:orientation val="minMax"/>
        </c:scaling>
        <c:axPos val="b"/>
        <c:numFmt formatCode="0" sourceLinked="1"/>
        <c:tickLblPos val="nextTo"/>
        <c:crossAx val="144317056"/>
        <c:crosses val="autoZero"/>
        <c:auto val="1"/>
        <c:lblAlgn val="ctr"/>
        <c:lblOffset val="100"/>
      </c:catAx>
      <c:valAx>
        <c:axId val="144317056"/>
        <c:scaling>
          <c:orientation val="minMax"/>
        </c:scaling>
        <c:axPos val="l"/>
        <c:majorGridlines/>
        <c:numFmt formatCode="General" sourceLinked="1"/>
        <c:tickLblPos val="nextTo"/>
        <c:crossAx val="14431552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</a:t>
            </a:r>
            <a:r>
              <a:rPr lang="pl-PL" sz="1800" b="1" i="0" baseline="0"/>
              <a:t>podmiotów gospodarczych zarejestrowanych na terenie gminy</a:t>
            </a:r>
            <a:endParaRPr lang="pl-PL"/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Charakterystyka_2020!$W$103</c:f>
              <c:strCache>
                <c:ptCount val="1"/>
                <c:pt idx="0">
                  <c:v>Prognoza zarejestrowanych podmiotów gospodarczych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Charakterystyka_2020!$G$5:$R$5</c:f>
              <c:numCache>
                <c:formatCode>0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Charakterystyka_2020!$C$5:$R$5</c15:sqref>
                  </c15:fullRef>
                </c:ext>
              </c:extLst>
            </c:numRef>
          </c:cat>
          <c:val>
            <c:numRef>
              <c:f>(Charakterystyka_2020!$G$106:$K$106,Charakterystyka_2020!$L$105,Charakterystyka_2020!$Y$105:$AD$105)</c:f>
              <c:numCache>
                <c:formatCode>General</c:formatCode>
                <c:ptCount val="12"/>
                <c:pt idx="5" formatCode="#,##0">
                  <c:v>1472</c:v>
                </c:pt>
                <c:pt idx="6" formatCode="#,##0">
                  <c:v>1459</c:v>
                </c:pt>
                <c:pt idx="7" formatCode="#,##0">
                  <c:v>1533</c:v>
                </c:pt>
                <c:pt idx="8" formatCode="#,##0">
                  <c:v>1611</c:v>
                </c:pt>
                <c:pt idx="9" formatCode="#,##0">
                  <c:v>1693</c:v>
                </c:pt>
                <c:pt idx="10" formatCode="#,##0">
                  <c:v>1779</c:v>
                </c:pt>
                <c:pt idx="11" formatCode="#,##0">
                  <c:v>1869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(Charakterystyka_2020!$C$106:$K$106,Charakterystyka_2020!$L$105,Charakterystyka_2020!$Y$105:$AD$105)</c15:sqref>
                  </c15:fullRef>
                </c:ext>
              </c:extLst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670-4257-A440-CA1EF869E485}"/>
            </c:ext>
          </c:extLst>
        </c:ser>
        <c:ser>
          <c:idx val="0"/>
          <c:order val="1"/>
          <c:tx>
            <c:strRef>
              <c:f>Charakterystyka_2020!$B$103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Charakterystyka_2020!$G$5:$R$5</c:f>
              <c:numCache>
                <c:formatCode>0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Charakterystyka_2020!$C$5:$R$5</c15:sqref>
                  </c15:fullRef>
                </c:ext>
              </c:extLst>
            </c:numRef>
          </c:cat>
          <c:val>
            <c:numRef>
              <c:f>Charakterystyka_2020!$G$105:$L$105</c:f>
              <c:numCache>
                <c:formatCode>#,##0</c:formatCode>
                <c:ptCount val="6"/>
                <c:pt idx="0">
                  <c:v>1459</c:v>
                </c:pt>
                <c:pt idx="1">
                  <c:v>1521</c:v>
                </c:pt>
                <c:pt idx="2">
                  <c:v>1526</c:v>
                </c:pt>
                <c:pt idx="3">
                  <c:v>1545</c:v>
                </c:pt>
                <c:pt idx="4">
                  <c:v>1502</c:v>
                </c:pt>
                <c:pt idx="5">
                  <c:v>1472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Charakterystyka_2020!$C$105:$L$105</c15:sqref>
                  </c15:fullRef>
                </c:ext>
              </c:extLst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670-4257-A440-CA1EF869E485}"/>
            </c:ext>
          </c:extLst>
        </c:ser>
        <c:marker val="1"/>
        <c:axId val="146001920"/>
        <c:axId val="146003456"/>
      </c:lineChart>
      <c:catAx>
        <c:axId val="146001920"/>
        <c:scaling>
          <c:orientation val="minMax"/>
        </c:scaling>
        <c:axPos val="b"/>
        <c:numFmt formatCode="0" sourceLinked="1"/>
        <c:tickLblPos val="nextTo"/>
        <c:crossAx val="146003456"/>
        <c:crosses val="autoZero"/>
        <c:auto val="1"/>
        <c:lblAlgn val="ctr"/>
        <c:lblOffset val="100"/>
        <c:tickLblSkip val="2"/>
      </c:catAx>
      <c:valAx>
        <c:axId val="146003456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146001920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średniej powierzchni mieszkań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Średnia powierzchnia mieszkań</c:v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</c:numLit>
          </c:cat>
          <c:val>
            <c:numRef>
              <c:f>Charakterystyka_2020!$C$86:$L$86</c:f>
              <c:numCache>
                <c:formatCode>#,##0.0</c:formatCode>
                <c:ptCount val="10"/>
                <c:pt idx="0">
                  <c:v>71.110306643952299</c:v>
                </c:pt>
                <c:pt idx="1">
                  <c:v>70.945645330535157</c:v>
                </c:pt>
                <c:pt idx="2">
                  <c:v>71.074795725958523</c:v>
                </c:pt>
                <c:pt idx="3">
                  <c:v>70.616424329305758</c:v>
                </c:pt>
                <c:pt idx="4">
                  <c:v>71.541159772911598</c:v>
                </c:pt>
                <c:pt idx="5">
                  <c:v>72.518220253674244</c:v>
                </c:pt>
                <c:pt idx="6">
                  <c:v>72.467703349282303</c:v>
                </c:pt>
                <c:pt idx="7">
                  <c:v>72.683750496622963</c:v>
                </c:pt>
                <c:pt idx="8">
                  <c:v>72.707159624413151</c:v>
                </c:pt>
                <c:pt idx="9">
                  <c:v>72.855522971652007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C16-492E-9A3A-C9CC8C7E3EDE}"/>
            </c:ext>
          </c:extLst>
        </c:ser>
        <c:ser>
          <c:idx val="1"/>
          <c:order val="1"/>
          <c:tx>
            <c:strRef>
              <c:f>Charakterystyka_2020!$AB$84</c:f>
              <c:strCache>
                <c:ptCount val="1"/>
                <c:pt idx="0">
                  <c:v>Prognoza średniej powierzchni mieszkań  [m2]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Lit>
              <c:formatCode>General</c:formatCode>
              <c:ptCount val="21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</c:numLit>
          </c:cat>
          <c:val>
            <c:numRef>
              <c:f>(Charakterystyka_2020!$C$87:$K$87,Charakterystyka_2020!$L$86,Charakterystyka_2020!$AD$86:$AI$86)</c:f>
              <c:numCache>
                <c:formatCode>General</c:formatCode>
                <c:ptCount val="16"/>
                <c:pt idx="9" formatCode="#,##0.0">
                  <c:v>72.855522971652007</c:v>
                </c:pt>
                <c:pt idx="10" formatCode="#,##0.0">
                  <c:v>72.829663962920051</c:v>
                </c:pt>
                <c:pt idx="11" formatCode="#,##0.0">
                  <c:v>72.814539210074415</c:v>
                </c:pt>
                <c:pt idx="12" formatCode="#,##0.0">
                  <c:v>72.796229971724784</c:v>
                </c:pt>
                <c:pt idx="13" formatCode="#,##0.0">
                  <c:v>72.775046554934818</c:v>
                </c:pt>
                <c:pt idx="14" formatCode="#,##0.0">
                  <c:v>72.751103752759377</c:v>
                </c:pt>
                <c:pt idx="15" formatCode="#,##0.0">
                  <c:v>72.7246956205706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C16-492E-9A3A-C9CC8C7E3EDE}"/>
            </c:ext>
          </c:extLst>
        </c:ser>
        <c:marker val="1"/>
        <c:axId val="145906304"/>
        <c:axId val="145912192"/>
      </c:lineChart>
      <c:catAx>
        <c:axId val="145906304"/>
        <c:scaling>
          <c:orientation val="minMax"/>
        </c:scaling>
        <c:axPos val="b"/>
        <c:numFmt formatCode="General" sourceLinked="1"/>
        <c:tickLblPos val="nextTo"/>
        <c:crossAx val="145912192"/>
        <c:crosses val="autoZero"/>
        <c:auto val="1"/>
        <c:lblAlgn val="ctr"/>
        <c:lblOffset val="100"/>
        <c:tickLblSkip val="2"/>
      </c:catAx>
      <c:valAx>
        <c:axId val="145912192"/>
        <c:scaling>
          <c:orientation val="minMax"/>
          <c:min val="0"/>
        </c:scaling>
        <c:axPos val="l"/>
        <c:majorGridlines/>
        <c:numFmt formatCode="#,##0.0" sourceLinked="1"/>
        <c:tickLblPos val="nextTo"/>
        <c:crossAx val="145906304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4"/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mieszkańców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Charakterystyka_2028!$B$7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cat>
            <c:numRef>
              <c:f>Charakterystyka_2028!$L$8:$Q$8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Charakterystyka_2028!$L$9:$Q$9</c:f>
              <c:numCache>
                <c:formatCode>#,##0</c:formatCode>
                <c:ptCount val="6"/>
                <c:pt idx="0">
                  <c:v>10618</c:v>
                </c:pt>
                <c:pt idx="1">
                  <c:v>10445</c:v>
                </c:pt>
                <c:pt idx="2">
                  <c:v>10349</c:v>
                </c:pt>
                <c:pt idx="3">
                  <c:v>10266</c:v>
                </c:pt>
                <c:pt idx="4">
                  <c:v>10153</c:v>
                </c:pt>
                <c:pt idx="5">
                  <c:v>10018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30-4C95-98CC-D64511E48C9F}"/>
            </c:ext>
          </c:extLst>
        </c:ser>
        <c:axId val="145919360"/>
        <c:axId val="146048128"/>
      </c:barChart>
      <c:catAx>
        <c:axId val="145919360"/>
        <c:scaling>
          <c:orientation val="minMax"/>
        </c:scaling>
        <c:axPos val="b"/>
        <c:numFmt formatCode="0" sourceLinked="1"/>
        <c:tickLblPos val="nextTo"/>
        <c:crossAx val="146048128"/>
        <c:crosses val="autoZero"/>
        <c:auto val="1"/>
        <c:lblAlgn val="ctr"/>
        <c:lblOffset val="100"/>
      </c:catAx>
      <c:valAx>
        <c:axId val="146048128"/>
        <c:scaling>
          <c:orientation val="minMax"/>
        </c:scaling>
        <c:axPos val="l"/>
        <c:majorGridlines/>
        <c:numFmt formatCode="#,##0" sourceLinked="1"/>
        <c:tickLblPos val="nextTo"/>
        <c:crossAx val="14591936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4"/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nowych mieszkań oddanych do użytku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Charakterystyka_2028!$B$46</c:f>
              <c:strCache>
                <c:ptCount val="1"/>
                <c:pt idx="0">
                  <c:v>Liczba nowych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Charakterystyka_2028!$L$47:$Q$47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Charakterystyka_2028!$L$48:$Q$48</c:f>
              <c:numCache>
                <c:formatCode>0</c:formatCode>
                <c:ptCount val="6"/>
                <c:pt idx="0">
                  <c:v>23</c:v>
                </c:pt>
                <c:pt idx="1">
                  <c:v>17</c:v>
                </c:pt>
                <c:pt idx="2">
                  <c:v>61</c:v>
                </c:pt>
                <c:pt idx="3">
                  <c:v>73</c:v>
                </c:pt>
                <c:pt idx="4">
                  <c:v>20</c:v>
                </c:pt>
                <c:pt idx="5">
                  <c:v>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5C-43C3-98D4-DB74442F8E97}"/>
            </c:ext>
          </c:extLst>
        </c:ser>
        <c:axId val="146150144"/>
        <c:axId val="146151680"/>
      </c:barChart>
      <c:catAx>
        <c:axId val="146150144"/>
        <c:scaling>
          <c:orientation val="minMax"/>
        </c:scaling>
        <c:axPos val="b"/>
        <c:numFmt formatCode="0" sourceLinked="1"/>
        <c:tickLblPos val="nextTo"/>
        <c:crossAx val="146151680"/>
        <c:crosses val="autoZero"/>
        <c:auto val="1"/>
        <c:lblAlgn val="ctr"/>
        <c:lblOffset val="100"/>
      </c:catAx>
      <c:valAx>
        <c:axId val="146151680"/>
        <c:scaling>
          <c:orientation val="minMax"/>
        </c:scaling>
        <c:axPos val="l"/>
        <c:majorGridlines/>
        <c:numFmt formatCode="0" sourceLinked="1"/>
        <c:tickLblPos val="nextTo"/>
        <c:crossAx val="14615014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title>
      <c:tx>
        <c:rich>
          <a:bodyPr/>
          <a:lstStyle/>
          <a:p>
            <a:pPr>
              <a:defRPr/>
            </a:pPr>
            <a:r>
              <a:rPr lang="pl-PL"/>
              <a:t>Ogólna powierzchnia mieszkań na terenie gminy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Charakterystyka_2028!$B$65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Charakterystyka_2028!$L$66:$P$66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Charakterystyka_2028!$L$67:$P$67</c:f>
              <c:numCache>
                <c:formatCode>General</c:formatCode>
                <c:ptCount val="5"/>
                <c:pt idx="0">
                  <c:v>393555</c:v>
                </c:pt>
                <c:pt idx="1">
                  <c:v>396213</c:v>
                </c:pt>
                <c:pt idx="2">
                  <c:v>400425</c:v>
                </c:pt>
                <c:pt idx="3">
                  <c:v>407354</c:v>
                </c:pt>
                <c:pt idx="4">
                  <c:v>410470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20-42A4-B34A-1CE2479D7AAD}"/>
            </c:ext>
          </c:extLst>
        </c:ser>
        <c:axId val="146171776"/>
        <c:axId val="146173312"/>
      </c:barChart>
      <c:catAx>
        <c:axId val="146171776"/>
        <c:scaling>
          <c:orientation val="minMax"/>
        </c:scaling>
        <c:axPos val="b"/>
        <c:numFmt formatCode="0" sourceLinked="1"/>
        <c:tickLblPos val="nextTo"/>
        <c:crossAx val="146173312"/>
        <c:crosses val="autoZero"/>
        <c:auto val="1"/>
        <c:lblAlgn val="ctr"/>
        <c:lblOffset val="100"/>
      </c:catAx>
      <c:valAx>
        <c:axId val="146173312"/>
        <c:scaling>
          <c:orientation val="minMax"/>
        </c:scaling>
        <c:axPos val="l"/>
        <c:majorGridlines/>
        <c:numFmt formatCode="General" sourceLinked="1"/>
        <c:tickLblPos val="nextTo"/>
        <c:crossAx val="14617177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4"/>
  <c:chart>
    <c:title>
      <c:tx>
        <c:rich>
          <a:bodyPr/>
          <a:lstStyle/>
          <a:p>
            <a:pPr>
              <a:defRPr/>
            </a:pPr>
            <a:r>
              <a:rPr lang="pl-PL"/>
              <a:t>Średnia powierzchnia mieszkań na terenie gminy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Charakterystyka_2028!$B$84</c:f>
              <c:strCache>
                <c:ptCount val="1"/>
                <c:pt idx="0">
                  <c:v>Średnia powierzchnia mieszkań 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Charakterystyka_2028!$L$85:$P$85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Charakterystyka_2028!$L$86:$P$86</c:f>
              <c:numCache>
                <c:formatCode>#,##0.0</c:formatCode>
                <c:ptCount val="5"/>
                <c:pt idx="0">
                  <c:v>72.948100092678402</c:v>
                </c:pt>
                <c:pt idx="1">
                  <c:v>73.210088691796003</c:v>
                </c:pt>
                <c:pt idx="2">
                  <c:v>73.163712771788781</c:v>
                </c:pt>
                <c:pt idx="3">
                  <c:v>73.450054093040023</c:v>
                </c:pt>
                <c:pt idx="4">
                  <c:v>73.74595759971254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5B-4B2F-9100-D3384D372356}"/>
            </c:ext>
          </c:extLst>
        </c:ser>
        <c:axId val="146189312"/>
        <c:axId val="146211584"/>
      </c:barChart>
      <c:catAx>
        <c:axId val="146189312"/>
        <c:scaling>
          <c:orientation val="minMax"/>
        </c:scaling>
        <c:axPos val="b"/>
        <c:numFmt formatCode="0" sourceLinked="1"/>
        <c:tickLblPos val="nextTo"/>
        <c:crossAx val="146211584"/>
        <c:crosses val="autoZero"/>
        <c:auto val="1"/>
        <c:lblAlgn val="ctr"/>
        <c:lblOffset val="100"/>
      </c:catAx>
      <c:valAx>
        <c:axId val="146211584"/>
        <c:scaling>
          <c:orientation val="minMax"/>
        </c:scaling>
        <c:axPos val="l"/>
        <c:majorGridlines/>
        <c:numFmt formatCode="#,##0.0" sourceLinked="1"/>
        <c:tickLblPos val="nextTo"/>
        <c:crossAx val="14618931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title>
      <c:tx>
        <c:rich>
          <a:bodyPr/>
          <a:lstStyle/>
          <a:p>
            <a:pPr>
              <a:defRPr/>
            </a:pPr>
            <a:r>
              <a:rPr lang="pl-PL"/>
              <a:t>Liczba podmiotów gospodarczych zarejestrowanych na terenie gminy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Charakterystyka_2028!$B$103:$D$103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Charakterystyka_2028!$L$104:$Q$104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Charakterystyka_2028!$L$105:$Q$105</c:f>
              <c:numCache>
                <c:formatCode>#,##0</c:formatCode>
                <c:ptCount val="6"/>
                <c:pt idx="0">
                  <c:v>1889</c:v>
                </c:pt>
                <c:pt idx="1">
                  <c:v>1705</c:v>
                </c:pt>
                <c:pt idx="2">
                  <c:v>1604</c:v>
                </c:pt>
                <c:pt idx="3">
                  <c:v>1522</c:v>
                </c:pt>
                <c:pt idx="4">
                  <c:v>1477</c:v>
                </c:pt>
                <c:pt idx="5">
                  <c:v>1489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06-493D-B906-C3FD9F708A32}"/>
            </c:ext>
          </c:extLst>
        </c:ser>
        <c:axId val="146239872"/>
        <c:axId val="146241408"/>
      </c:barChart>
      <c:catAx>
        <c:axId val="146239872"/>
        <c:scaling>
          <c:orientation val="minMax"/>
        </c:scaling>
        <c:axPos val="b"/>
        <c:numFmt formatCode="0" sourceLinked="1"/>
        <c:tickLblPos val="nextTo"/>
        <c:crossAx val="146241408"/>
        <c:crosses val="autoZero"/>
        <c:auto val="1"/>
        <c:lblAlgn val="ctr"/>
        <c:lblOffset val="100"/>
      </c:catAx>
      <c:valAx>
        <c:axId val="146241408"/>
        <c:scaling>
          <c:orientation val="minMax"/>
        </c:scaling>
        <c:axPos val="l"/>
        <c:majorGridlines/>
        <c:numFmt formatCode="#,##0" sourceLinked="1"/>
        <c:tickLblPos val="nextTo"/>
        <c:crossAx val="14623987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mieszkańców</a:t>
            </a:r>
            <a:endParaRPr lang="pl-PL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Charakterystyka_2028!$B$7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Charakterystyka_2028!$L$5:$V$5</c:f>
              <c:numCache>
                <c:formatCode>0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Charakterystyka_2028!$L$9:$Q$9</c:f>
              <c:numCache>
                <c:formatCode>#,##0</c:formatCode>
                <c:ptCount val="6"/>
                <c:pt idx="0">
                  <c:v>10618</c:v>
                </c:pt>
                <c:pt idx="1">
                  <c:v>10445</c:v>
                </c:pt>
                <c:pt idx="2">
                  <c:v>10349</c:v>
                </c:pt>
                <c:pt idx="3">
                  <c:v>10266</c:v>
                </c:pt>
                <c:pt idx="4">
                  <c:v>10153</c:v>
                </c:pt>
                <c:pt idx="5">
                  <c:v>10018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181-4FE8-AE76-8A4ADA7B9F5E}"/>
            </c:ext>
          </c:extLst>
        </c:ser>
        <c:ser>
          <c:idx val="1"/>
          <c:order val="1"/>
          <c:tx>
            <c:strRef>
              <c:f>Charakterystyka_2028!$AB$7</c:f>
              <c:strCache>
                <c:ptCount val="1"/>
                <c:pt idx="0">
                  <c:v>Prognoza liczby mieszkańców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Charakterystyka_2028!$L$5:$V$5</c:f>
              <c:numCache>
                <c:formatCode>0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(Charakterystyka_2028!$L$10:$P$10,Charakterystyka_2028!$AD$9:$AI$9)</c:f>
              <c:numCache>
                <c:formatCode>General</c:formatCode>
                <c:ptCount val="11"/>
                <c:pt idx="5" formatCode="#,##0">
                  <c:v>10018</c:v>
                </c:pt>
                <c:pt idx="6" formatCode="#,##0">
                  <c:v>9902</c:v>
                </c:pt>
                <c:pt idx="7" formatCode="#,##0">
                  <c:v>9787</c:v>
                </c:pt>
                <c:pt idx="8" formatCode="#,##0">
                  <c:v>9673</c:v>
                </c:pt>
                <c:pt idx="9" formatCode="#,##0">
                  <c:v>9561</c:v>
                </c:pt>
                <c:pt idx="10" formatCode="#,##0">
                  <c:v>9450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181-4FE8-AE76-8A4ADA7B9F5E}"/>
            </c:ext>
          </c:extLst>
        </c:ser>
        <c:marker val="1"/>
        <c:axId val="146258176"/>
        <c:axId val="146284544"/>
      </c:lineChart>
      <c:catAx>
        <c:axId val="146258176"/>
        <c:scaling>
          <c:orientation val="minMax"/>
        </c:scaling>
        <c:axPos val="b"/>
        <c:numFmt formatCode="0" sourceLinked="1"/>
        <c:tickLblPos val="nextTo"/>
        <c:crossAx val="146284544"/>
        <c:crosses val="autoZero"/>
        <c:auto val="1"/>
        <c:lblAlgn val="ctr"/>
        <c:lblOffset val="100"/>
        <c:tickLblSkip val="1"/>
      </c:catAx>
      <c:valAx>
        <c:axId val="146284544"/>
        <c:scaling>
          <c:orientation val="minMax"/>
          <c:max val="12000"/>
          <c:min val="7000"/>
        </c:scaling>
        <c:axPos val="l"/>
        <c:majorGridlines/>
        <c:numFmt formatCode="#,##0" sourceLinked="1"/>
        <c:tickLblPos val="nextTo"/>
        <c:crossAx val="146258176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Charakterystyka_2028!$B$26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Charakterystyka_2028!$L$27:$Q$27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Charakterystyka_2028!$L$28:$Q$28</c:f>
              <c:numCache>
                <c:formatCode>General</c:formatCode>
                <c:ptCount val="6"/>
                <c:pt idx="0">
                  <c:v>5395</c:v>
                </c:pt>
                <c:pt idx="1">
                  <c:v>5412</c:v>
                </c:pt>
                <c:pt idx="2">
                  <c:v>5473</c:v>
                </c:pt>
                <c:pt idx="3">
                  <c:v>5546</c:v>
                </c:pt>
                <c:pt idx="4">
                  <c:v>5566</c:v>
                </c:pt>
                <c:pt idx="5">
                  <c:v>5767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67-4CFF-AC36-DF3957BC10D6}"/>
            </c:ext>
          </c:extLst>
        </c:ser>
        <c:axId val="146300288"/>
        <c:axId val="146314368"/>
      </c:barChart>
      <c:catAx>
        <c:axId val="146300288"/>
        <c:scaling>
          <c:orientation val="minMax"/>
        </c:scaling>
        <c:axPos val="b"/>
        <c:numFmt formatCode="0" sourceLinked="1"/>
        <c:tickLblPos val="nextTo"/>
        <c:crossAx val="146314368"/>
        <c:crosses val="autoZero"/>
        <c:auto val="1"/>
        <c:lblAlgn val="ctr"/>
        <c:lblOffset val="100"/>
      </c:catAx>
      <c:valAx>
        <c:axId val="146314368"/>
        <c:scaling>
          <c:orientation val="minMax"/>
        </c:scaling>
        <c:axPos val="l"/>
        <c:majorGridlines/>
        <c:numFmt formatCode="General" sourceLinked="1"/>
        <c:tickLblPos val="nextTo"/>
        <c:crossAx val="14630028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</a:t>
            </a:r>
            <a:endParaRPr lang="pl-PL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Charakterystyka_2028!$B$26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Charakterystyka_2028!$L$5:$V$5</c:f>
              <c:numCache>
                <c:formatCode>0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Charakterystyka_2028!$L$28:$P$28</c:f>
              <c:numCache>
                <c:formatCode>General</c:formatCode>
                <c:ptCount val="5"/>
                <c:pt idx="0">
                  <c:v>5395</c:v>
                </c:pt>
                <c:pt idx="1">
                  <c:v>5412</c:v>
                </c:pt>
                <c:pt idx="2">
                  <c:v>5473</c:v>
                </c:pt>
                <c:pt idx="3">
                  <c:v>5546</c:v>
                </c:pt>
                <c:pt idx="4">
                  <c:v>5566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D9E-42DE-A152-127309DB27C6}"/>
            </c:ext>
          </c:extLst>
        </c:ser>
        <c:ser>
          <c:idx val="1"/>
          <c:order val="1"/>
          <c:tx>
            <c:strRef>
              <c:f>Charakterystyka_2028!$AB$26</c:f>
              <c:strCache>
                <c:ptCount val="1"/>
                <c:pt idx="0">
                  <c:v>Prognoza liczby mieszkań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Charakterystyka_2028!$L$5:$V$5</c:f>
              <c:numCache>
                <c:formatCode>0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(Charakterystyka_2028!$L$29:$O$29,Charakterystyka_2028!$P$28,Charakterystyka_2028!$AD$28:$AI$28)</c:f>
              <c:numCache>
                <c:formatCode>General</c:formatCode>
                <c:ptCount val="11"/>
                <c:pt idx="4">
                  <c:v>5566</c:v>
                </c:pt>
                <c:pt idx="5" formatCode="#,##0">
                  <c:v>5767</c:v>
                </c:pt>
                <c:pt idx="6" formatCode="#,##0">
                  <c:v>5812</c:v>
                </c:pt>
                <c:pt idx="7" formatCode="#,##0">
                  <c:v>5857</c:v>
                </c:pt>
                <c:pt idx="8" formatCode="#,##0">
                  <c:v>5902</c:v>
                </c:pt>
                <c:pt idx="9" formatCode="#,##0">
                  <c:v>5948</c:v>
                </c:pt>
                <c:pt idx="10" formatCode="#,##0">
                  <c:v>5994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D9E-42DE-A152-127309DB27C6}"/>
            </c:ext>
          </c:extLst>
        </c:ser>
        <c:marker val="1"/>
        <c:axId val="146347520"/>
        <c:axId val="146349056"/>
      </c:lineChart>
      <c:catAx>
        <c:axId val="146347520"/>
        <c:scaling>
          <c:orientation val="minMax"/>
        </c:scaling>
        <c:axPos val="b"/>
        <c:numFmt formatCode="0" sourceLinked="1"/>
        <c:tickLblPos val="nextTo"/>
        <c:crossAx val="146349056"/>
        <c:crosses val="autoZero"/>
        <c:auto val="1"/>
        <c:lblAlgn val="ctr"/>
        <c:lblOffset val="100"/>
        <c:tickLblSkip val="2"/>
      </c:catAx>
      <c:valAx>
        <c:axId val="146349056"/>
        <c:scaling>
          <c:orientation val="minMax"/>
          <c:max val="7000"/>
          <c:min val="3000"/>
        </c:scaling>
        <c:axPos val="l"/>
        <c:majorGridlines/>
        <c:numFmt formatCode="General" sourceLinked="1"/>
        <c:tickLblPos val="nextTo"/>
        <c:crossAx val="146347520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4"/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nowych mieszkań oddanych do użytku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Charakterystyka_2020!$B$46</c:f>
              <c:strCache>
                <c:ptCount val="1"/>
                <c:pt idx="0">
                  <c:v>Liczba nowych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Charakterystyka_2020!$L$47:$Q$47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Charakterystyka_2020!$L$48:$Q$48</c:f>
              <c:numCache>
                <c:formatCode>0</c:formatCode>
                <c:ptCount val="6"/>
                <c:pt idx="0">
                  <c:v>10</c:v>
                </c:pt>
                <c:pt idx="1">
                  <c:v>49</c:v>
                </c:pt>
                <c:pt idx="2">
                  <c:v>73</c:v>
                </c:pt>
                <c:pt idx="3">
                  <c:v>106</c:v>
                </c:pt>
                <c:pt idx="4">
                  <c:v>46</c:v>
                </c:pt>
                <c:pt idx="5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7E-4786-84ED-8819A3B53280}"/>
            </c:ext>
          </c:extLst>
        </c:ser>
        <c:axId val="144341632"/>
        <c:axId val="144372096"/>
      </c:barChart>
      <c:catAx>
        <c:axId val="144341632"/>
        <c:scaling>
          <c:orientation val="minMax"/>
        </c:scaling>
        <c:axPos val="b"/>
        <c:numFmt formatCode="0" sourceLinked="1"/>
        <c:tickLblPos val="nextTo"/>
        <c:crossAx val="144372096"/>
        <c:crosses val="autoZero"/>
        <c:auto val="1"/>
        <c:lblAlgn val="ctr"/>
        <c:lblOffset val="100"/>
      </c:catAx>
      <c:valAx>
        <c:axId val="144372096"/>
        <c:scaling>
          <c:orientation val="minMax"/>
        </c:scaling>
        <c:axPos val="l"/>
        <c:majorGridlines/>
        <c:numFmt formatCode="0" sourceLinked="1"/>
        <c:tickLblPos val="nextTo"/>
        <c:crossAx val="14434163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Prognoza powierzchni mieszkań</a:t>
            </a:r>
          </a:p>
        </c:rich>
      </c:tx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Charakterystyka_2028!$B$65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cat>
            <c:numRef>
              <c:f>Charakterystyka_2028!$L$5:$V$5</c:f>
              <c:numCache>
                <c:formatCode>0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Charakterystyka_2028!$L$67:$P$67</c:f>
              <c:numCache>
                <c:formatCode>General</c:formatCode>
                <c:ptCount val="5"/>
                <c:pt idx="0">
                  <c:v>393555</c:v>
                </c:pt>
                <c:pt idx="1">
                  <c:v>396213</c:v>
                </c:pt>
                <c:pt idx="2">
                  <c:v>400425</c:v>
                </c:pt>
                <c:pt idx="3">
                  <c:v>407354</c:v>
                </c:pt>
                <c:pt idx="4">
                  <c:v>410470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129-4E68-9DFB-6419E86DE38E}"/>
            </c:ext>
          </c:extLst>
        </c:ser>
        <c:ser>
          <c:idx val="1"/>
          <c:order val="1"/>
          <c:tx>
            <c:strRef>
              <c:f>Charakterystyka_2028!$AB$65</c:f>
              <c:strCache>
                <c:ptCount val="1"/>
                <c:pt idx="0">
                  <c:v>Prognoza ogólnej powierzchni mieszkań [m2]</c:v>
                </c:pt>
              </c:strCache>
            </c:strRef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Charakterystyka_2028!$L$5:$V$5</c:f>
              <c:numCache>
                <c:formatCode>0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(Charakterystyka_2028!$L$68:$O$68,Charakterystyka_2028!$P$67,Charakterystyka_2028!$AD$67:$AI$67)</c:f>
              <c:numCache>
                <c:formatCode>General</c:formatCode>
                <c:ptCount val="11"/>
                <c:pt idx="4">
                  <c:v>410470</c:v>
                </c:pt>
                <c:pt idx="5" formatCode="#,##0">
                  <c:v>419569</c:v>
                </c:pt>
                <c:pt idx="6" formatCode="#,##0">
                  <c:v>424006</c:v>
                </c:pt>
                <c:pt idx="7" formatCode="#,##0">
                  <c:v>428490</c:v>
                </c:pt>
                <c:pt idx="8" formatCode="#,##0">
                  <c:v>433021</c:v>
                </c:pt>
                <c:pt idx="9" formatCode="#,##0">
                  <c:v>437600</c:v>
                </c:pt>
                <c:pt idx="10" formatCode="#,##0">
                  <c:v>442228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129-4E68-9DFB-6419E86DE38E}"/>
            </c:ext>
          </c:extLst>
        </c:ser>
        <c:marker val="1"/>
        <c:axId val="147596416"/>
        <c:axId val="147597952"/>
      </c:lineChart>
      <c:catAx>
        <c:axId val="147596416"/>
        <c:scaling>
          <c:orientation val="minMax"/>
        </c:scaling>
        <c:axPos val="b"/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7597952"/>
        <c:crosses val="autoZero"/>
        <c:auto val="1"/>
        <c:lblAlgn val="ctr"/>
        <c:lblOffset val="100"/>
        <c:tickLblSkip val="2"/>
      </c:catAx>
      <c:valAx>
        <c:axId val="147597952"/>
        <c:scaling>
          <c:orientation val="minMax"/>
          <c:max val="500000"/>
          <c:min val="3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7596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</a:t>
            </a:r>
            <a:r>
              <a:rPr lang="pl-PL" sz="1800" b="1" i="0" baseline="0"/>
              <a:t>podmiotów gospodarczych zarejestrowanych na terenie gminy</a:t>
            </a:r>
            <a:endParaRPr lang="pl-PL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Charakterystyka_2028!$B$103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Charakterystyka_2028!$L$5:$V$6</c:f>
              <c:strCach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strCache>
            </c:strRef>
          </c:cat>
          <c:val>
            <c:numRef>
              <c:f>Charakterystyka_2028!$L$105:$Q$105</c:f>
              <c:numCache>
                <c:formatCode>#,##0</c:formatCode>
                <c:ptCount val="6"/>
                <c:pt idx="0">
                  <c:v>1889</c:v>
                </c:pt>
                <c:pt idx="1">
                  <c:v>1705</c:v>
                </c:pt>
                <c:pt idx="2">
                  <c:v>1604</c:v>
                </c:pt>
                <c:pt idx="3">
                  <c:v>1522</c:v>
                </c:pt>
                <c:pt idx="4">
                  <c:v>1477</c:v>
                </c:pt>
                <c:pt idx="5">
                  <c:v>1489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EF5-4351-A835-602581029E26}"/>
            </c:ext>
          </c:extLst>
        </c:ser>
        <c:ser>
          <c:idx val="1"/>
          <c:order val="1"/>
          <c:tx>
            <c:strRef>
              <c:f>Charakterystyka_2028!$W$103</c:f>
              <c:strCache>
                <c:ptCount val="1"/>
                <c:pt idx="0">
                  <c:v>Prognoza zarejestrowanych podmiotów gospodarczych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strRef>
              <c:f>Charakterystyka_2028!$L$5:$V$6</c:f>
              <c:strCach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strCache>
            </c:strRef>
          </c:cat>
          <c:val>
            <c:numRef>
              <c:f>(Charakterystyka_2028!$L$106:$P$106,Charakterystyka_2028!$Y$105:$AD$105)</c:f>
              <c:numCache>
                <c:formatCode>General</c:formatCode>
                <c:ptCount val="11"/>
                <c:pt idx="5" formatCode="#,##0">
                  <c:v>1489</c:v>
                </c:pt>
                <c:pt idx="6" formatCode="#,##0">
                  <c:v>1419</c:v>
                </c:pt>
                <c:pt idx="7" formatCode="#,##0">
                  <c:v>1353</c:v>
                </c:pt>
                <c:pt idx="8" formatCode="#,##0">
                  <c:v>1290</c:v>
                </c:pt>
                <c:pt idx="9" formatCode="#,##0">
                  <c:v>1230</c:v>
                </c:pt>
                <c:pt idx="10" formatCode="#,##0">
                  <c:v>1172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F5-4351-A835-602581029E26}"/>
            </c:ext>
          </c:extLst>
        </c:ser>
        <c:marker val="1"/>
        <c:axId val="147638144"/>
        <c:axId val="147639680"/>
      </c:lineChart>
      <c:catAx>
        <c:axId val="147638144"/>
        <c:scaling>
          <c:orientation val="minMax"/>
        </c:scaling>
        <c:axPos val="b"/>
        <c:numFmt formatCode="General" sourceLinked="1"/>
        <c:tickLblPos val="nextTo"/>
        <c:crossAx val="147639680"/>
        <c:crosses val="autoZero"/>
        <c:auto val="1"/>
        <c:lblAlgn val="ctr"/>
        <c:lblOffset val="100"/>
        <c:tickLblSkip val="2"/>
      </c:catAx>
      <c:valAx>
        <c:axId val="147639680"/>
        <c:scaling>
          <c:orientation val="minMax"/>
          <c:min val="0"/>
        </c:scaling>
        <c:axPos val="l"/>
        <c:majorGridlines/>
        <c:numFmt formatCode="#,##0" sourceLinked="1"/>
        <c:tickLblPos val="nextTo"/>
        <c:crossAx val="147638144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średniej powierzchni mieszkań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Średnia powierzchnia mieszkań</c:v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Charakterystyka_2028!$L$5:$V$5</c:f>
              <c:numCache>
                <c:formatCode>0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Charakterystyka_2028!$L$86:$P$86</c:f>
              <c:numCache>
                <c:formatCode>#,##0.0</c:formatCode>
                <c:ptCount val="5"/>
                <c:pt idx="0">
                  <c:v>72.948100092678402</c:v>
                </c:pt>
                <c:pt idx="1">
                  <c:v>73.210088691796003</c:v>
                </c:pt>
                <c:pt idx="2">
                  <c:v>73.163712771788781</c:v>
                </c:pt>
                <c:pt idx="3">
                  <c:v>73.450054093040023</c:v>
                </c:pt>
                <c:pt idx="4">
                  <c:v>73.74595759971254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181-4C95-BD3B-782D965D0C99}"/>
            </c:ext>
          </c:extLst>
        </c:ser>
        <c:ser>
          <c:idx val="1"/>
          <c:order val="1"/>
          <c:tx>
            <c:strRef>
              <c:f>Charakterystyka_2028!$AB$84</c:f>
              <c:strCache>
                <c:ptCount val="1"/>
                <c:pt idx="0">
                  <c:v>Prognoza średniej powierzchni mieszkań  [m2]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Charakterystyka_2028!$L$5:$V$5</c:f>
              <c:numCache>
                <c:formatCode>0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(Charakterystyka_2028!$L$87:$O$87,Charakterystyka_2028!$P$86,Charakterystyka_2028!$AD$86:$AI$86)</c:f>
              <c:numCache>
                <c:formatCode>General</c:formatCode>
                <c:ptCount val="11"/>
                <c:pt idx="4" formatCode="#,##0.0">
                  <c:v>73.74595759971254</c:v>
                </c:pt>
                <c:pt idx="5" formatCode="#,##0.0">
                  <c:v>72.753424657534254</c:v>
                </c:pt>
                <c:pt idx="6" formatCode="#,##0.0">
                  <c:v>72.95154597401455</c:v>
                </c:pt>
                <c:pt idx="7" formatCode="#,##0.0">
                  <c:v>73.150206812259341</c:v>
                </c:pt>
                <c:pt idx="8" formatCode="#,##0.0">
                  <c:v>73.349408641488282</c:v>
                </c:pt>
                <c:pt idx="9" formatCode="#,##0.0">
                  <c:v>73.549152934922006</c:v>
                </c:pt>
                <c:pt idx="10" formatCode="#,##0.0">
                  <c:v>73.749441169793002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181-4C95-BD3B-782D965D0C99}"/>
            </c:ext>
          </c:extLst>
        </c:ser>
        <c:marker val="1"/>
        <c:axId val="146440192"/>
        <c:axId val="146441728"/>
      </c:lineChart>
      <c:catAx>
        <c:axId val="146440192"/>
        <c:scaling>
          <c:orientation val="minMax"/>
        </c:scaling>
        <c:axPos val="b"/>
        <c:numFmt formatCode="0" sourceLinked="1"/>
        <c:tickLblPos val="nextTo"/>
        <c:crossAx val="146441728"/>
        <c:crosses val="autoZero"/>
        <c:auto val="1"/>
        <c:lblAlgn val="ctr"/>
        <c:lblOffset val="100"/>
        <c:tickLblSkip val="2"/>
      </c:catAx>
      <c:valAx>
        <c:axId val="146441728"/>
        <c:scaling>
          <c:orientation val="minMax"/>
          <c:max val="80"/>
          <c:min val="60"/>
        </c:scaling>
        <c:axPos val="l"/>
        <c:majorGridlines/>
        <c:numFmt formatCode="#,##0.0" sourceLinked="1"/>
        <c:tickLblPos val="nextTo"/>
        <c:crossAx val="146440192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Charakterystyka_2028!$C$127:$F$127</c:f>
              <c:strCache>
                <c:ptCount val="4"/>
                <c:pt idx="0">
                  <c:v>Gaz [mln m3]</c:v>
                </c:pt>
                <c:pt idx="1">
                  <c:v>olej [Mg]</c:v>
                </c:pt>
                <c:pt idx="2">
                  <c:v>węgiel [Mg]</c:v>
                </c:pt>
                <c:pt idx="3">
                  <c:v>drewno [Mg]</c:v>
                </c:pt>
              </c:strCache>
            </c:strRef>
          </c:cat>
          <c:val>
            <c:numRef>
              <c:f>Charakterystyka_2028!$C$130:$F$130</c:f>
              <c:numCache>
                <c:formatCode>0.00</c:formatCode>
                <c:ptCount val="4"/>
                <c:pt idx="0">
                  <c:v>97.150667874346581</c:v>
                </c:pt>
                <c:pt idx="1">
                  <c:v>1.3656608634728534E-3</c:v>
                </c:pt>
                <c:pt idx="2">
                  <c:v>2.6588494350875105</c:v>
                </c:pt>
                <c:pt idx="3">
                  <c:v>0.18911702970242952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8-4143-BE8B-21DEB3A7E57D}"/>
            </c:ext>
          </c:extLst>
        </c:ser>
      </c:pie3DChart>
    </c:plotArea>
    <c:legend>
      <c:legendPos val="r"/>
      <c:txPr>
        <a:bodyPr/>
        <a:lstStyle/>
        <a:p>
          <a:pPr rtl="0">
            <a:defRPr/>
          </a:pPr>
          <a:endParaRPr lang="pl-PL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7"/>
  <c:chart>
    <c:title>
      <c:tx>
        <c:rich>
          <a:bodyPr/>
          <a:lstStyle/>
          <a:p>
            <a:pPr>
              <a:defRPr/>
            </a:pPr>
            <a:r>
              <a:rPr lang="pl-PL"/>
              <a:t>Zużycie gazu</a:t>
            </a:r>
            <a:r>
              <a:rPr lang="pl-PL" baseline="0"/>
              <a:t> </a:t>
            </a:r>
            <a:r>
              <a:rPr lang="pl-PL"/>
              <a:t>- emisja CO</a:t>
            </a:r>
            <a:r>
              <a:rPr lang="pl-PL" baseline="-25000"/>
              <a:t>2</a:t>
            </a:r>
            <a:r>
              <a:rPr lang="pl-PL"/>
              <a:t> [Mg CO</a:t>
            </a:r>
            <a:r>
              <a:rPr lang="pl-PL" baseline="-25000"/>
              <a:t>2</a:t>
            </a:r>
            <a:r>
              <a:rPr lang="pl-PL"/>
              <a:t>]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cat>
            <c:multiLvlStrRef>
              <c:f>('En. elektryczna_2020'!#REF!,'En. elektryczna_2020'!$B$5,'En. elektryczna_2020'!$B$14:$C$14)</c:f>
            </c:multiLvlStrRef>
          </c:cat>
          <c:val>
            <c:numRef>
              <c:f>(Gaz_2020!#REF!,Gaz_2020!$H$7,Gaz_2020!$H$16)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5B6-4EAC-A463-E1B288CF4282}"/>
            </c:ext>
          </c:extLst>
        </c:ser>
        <c:ser>
          <c:idx val="1"/>
          <c:order val="1"/>
          <c:cat>
            <c:multiLvlStrRef>
              <c:f>('En. elektryczna_2020'!#REF!,'En. elektryczna_2020'!$B$5,'En. elektryczna_2020'!$B$14:$C$14)</c:f>
            </c:multiLvlStrRef>
          </c:cat>
          <c:val>
            <c:numRef>
              <c:f>(Gaz_2020!#REF!,Gaz_2020!$H$8,Gaz_2020!$H$17)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5B6-4EAC-A463-E1B288CF4282}"/>
            </c:ext>
          </c:extLst>
        </c:ser>
        <c:ser>
          <c:idx val="2"/>
          <c:order val="2"/>
          <c:val>
            <c:numRef>
              <c:f>(Gaz_2020!#REF!,Gaz_2020!$H$9,Gaz_2020!$H$18)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5B6-4EAC-A463-E1B288CF4282}"/>
            </c:ext>
          </c:extLst>
        </c:ser>
        <c:ser>
          <c:idx val="3"/>
          <c:order val="3"/>
          <c:val>
            <c:numRef>
              <c:f>(Gaz!#REF!,Gaz!#REF!,Gaz!#REF!)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B5B6-4EAC-A463-E1B288CF4282}"/>
            </c:ext>
          </c:extLst>
        </c:ser>
        <c:ser>
          <c:idx val="4"/>
          <c:order val="4"/>
          <c:val>
            <c:numRef>
              <c:f>(Gaz_2020!#REF!,Gaz_2020!$H$12,Gaz_2020!#REF!)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5B6-4EAC-A463-E1B288CF4282}"/>
            </c:ext>
          </c:extLst>
        </c:ser>
        <c:overlap val="100"/>
        <c:axId val="153935232"/>
        <c:axId val="144639104"/>
      </c:barChart>
      <c:catAx>
        <c:axId val="153935232"/>
        <c:scaling>
          <c:orientation val="minMax"/>
        </c:scaling>
        <c:axPos val="b"/>
        <c:numFmt formatCode="General" sourceLinked="0"/>
        <c:tickLblPos val="nextTo"/>
        <c:crossAx val="144639104"/>
        <c:crosses val="autoZero"/>
        <c:auto val="1"/>
        <c:lblAlgn val="ctr"/>
        <c:lblOffset val="100"/>
      </c:catAx>
      <c:valAx>
        <c:axId val="144639104"/>
        <c:scaling>
          <c:orientation val="minMax"/>
          <c:min val="0"/>
        </c:scaling>
        <c:axPos val="l"/>
        <c:majorGridlines/>
        <c:numFmt formatCode="#,##0.00" sourceLinked="0"/>
        <c:tickLblPos val="nextTo"/>
        <c:crossAx val="1539352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Zużycie gazu [Nm</a:t>
            </a:r>
            <a:r>
              <a:rPr lang="pl-PL" baseline="30000"/>
              <a:t>3</a:t>
            </a:r>
            <a:r>
              <a:rPr lang="pl-PL"/>
              <a:t>]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cat>
            <c:multiLvlStrRef>
              <c:f>('En. elektryczna_2020'!#REF!,'En. elektryczna_2020'!$B$5,'En. elektryczna_2020'!$B$14:$C$14)</c:f>
            </c:multiLvlStrRef>
          </c:cat>
          <c:val>
            <c:numRef>
              <c:f>(Gaz_2020!#REF!,Gaz_2020!$D$7,Gaz_2020!$D$16)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DF-4CCE-9640-CD289E1005A4}"/>
            </c:ext>
          </c:extLst>
        </c:ser>
        <c:ser>
          <c:idx val="1"/>
          <c:order val="1"/>
          <c:cat>
            <c:multiLvlStrRef>
              <c:f>('En. elektryczna_2020'!#REF!,'En. elektryczna_2020'!$B$5,'En. elektryczna_2020'!$B$14:$C$14)</c:f>
            </c:multiLvlStrRef>
          </c:cat>
          <c:val>
            <c:numRef>
              <c:f>(Gaz_2020!#REF!,Gaz_2020!$D$8,Gaz_2020!$D$17)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CDF-4CCE-9640-CD289E1005A4}"/>
            </c:ext>
          </c:extLst>
        </c:ser>
        <c:ser>
          <c:idx val="2"/>
          <c:order val="2"/>
          <c:val>
            <c:numRef>
              <c:f>(Gaz_2020!#REF!,Gaz_2020!$D$9,Gaz_2020!$D$18)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CDF-4CCE-9640-CD289E1005A4}"/>
            </c:ext>
          </c:extLst>
        </c:ser>
        <c:ser>
          <c:idx val="3"/>
          <c:order val="3"/>
          <c:val>
            <c:numRef>
              <c:f>(Gaz_2020!#REF!,Gaz_2020!$D$12,Gaz_2020!#REF!)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2CDF-4CCE-9640-CD289E1005A4}"/>
            </c:ext>
          </c:extLst>
        </c:ser>
        <c:ser>
          <c:idx val="4"/>
          <c:order val="4"/>
          <c:val>
            <c:numRef>
              <c:f>(Gaz_2020!#REF!,Gaz_2020!$D$12,Gaz_2020!#REF!)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CDF-4CCE-9640-CD289E1005A4}"/>
            </c:ext>
          </c:extLst>
        </c:ser>
        <c:overlap val="100"/>
        <c:axId val="144691200"/>
        <c:axId val="144692736"/>
      </c:barChart>
      <c:catAx>
        <c:axId val="144691200"/>
        <c:scaling>
          <c:orientation val="minMax"/>
        </c:scaling>
        <c:axPos val="b"/>
        <c:numFmt formatCode="General" sourceLinked="0"/>
        <c:tickLblPos val="nextTo"/>
        <c:crossAx val="144692736"/>
        <c:crosses val="autoZero"/>
        <c:auto val="1"/>
        <c:lblAlgn val="ctr"/>
        <c:lblOffset val="100"/>
      </c:catAx>
      <c:valAx>
        <c:axId val="144692736"/>
        <c:scaling>
          <c:orientation val="minMax"/>
        </c:scaling>
        <c:axPos val="l"/>
        <c:majorGridlines/>
        <c:numFmt formatCode="#,##0.00" sourceLinked="0"/>
        <c:tickLblPos val="nextTo"/>
        <c:crossAx val="1446912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z ankietyzacji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tx>
            <c:strRef>
              <c:f>'Ciepło założenia'!$B$17:$B$21</c:f>
              <c:strCache>
                <c:ptCount val="1"/>
                <c:pt idx="0">
                  <c:v>węgiel olej opałowy energia elektryczna gaz OZE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327-4A63-B81E-3533ACD6B92B}"/>
              </c:ext>
            </c:extLst>
          </c:dPt>
          <c:dPt>
            <c:idx val="1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327-4A63-B81E-3533ACD6B92B}"/>
              </c:ext>
            </c:extLst>
          </c:dPt>
          <c:dPt>
            <c:idx val="2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327-4A63-B81E-3533ACD6B92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327-4A63-B81E-3533ACD6B92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327-4A63-B81E-3533ACD6B9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 założenia'!$B$17:$B$21</c:f>
              <c:strCache>
                <c:ptCount val="5"/>
                <c:pt idx="0">
                  <c:v>węgiel</c:v>
                </c:pt>
                <c:pt idx="1">
                  <c:v>olej opałowy</c:v>
                </c:pt>
                <c:pt idx="2">
                  <c:v>energia elektryczna</c:v>
                </c:pt>
                <c:pt idx="3">
                  <c:v>gaz</c:v>
                </c:pt>
                <c:pt idx="4">
                  <c:v>OZE</c:v>
                </c:pt>
              </c:strCache>
            </c:strRef>
          </c:cat>
          <c:val>
            <c:numRef>
              <c:f>'Ciepło założenia'!$C$17:$C$21</c:f>
              <c:numCache>
                <c:formatCode>0.0%</c:formatCode>
                <c:ptCount val="5"/>
                <c:pt idx="0">
                  <c:v>0.32472463086133874</c:v>
                </c:pt>
                <c:pt idx="1">
                  <c:v>1.7628225916322241E-2</c:v>
                </c:pt>
                <c:pt idx="2">
                  <c:v>2.1160206490751583E-2</c:v>
                </c:pt>
                <c:pt idx="3">
                  <c:v>0.57414233985154783</c:v>
                </c:pt>
                <c:pt idx="4">
                  <c:v>6.2344596880039634E-2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327-4A63-B81E-3533ACD6B92B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353126756860326"/>
          <c:y val="0.29033415599169532"/>
          <c:w val="0.30988364538472152"/>
          <c:h val="0.48445567438398601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STRUKTURA PALIW - 2014r.</a:t>
            </a:r>
          </a:p>
        </c:rich>
      </c:tx>
      <c:layout>
        <c:manualLayout>
          <c:xMode val="edge"/>
          <c:yMode val="edge"/>
          <c:x val="0.26827051145383796"/>
          <c:y val="3.6879569748217482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0749730931038192E-2"/>
          <c:y val="0.15176594997494422"/>
          <c:w val="0.5017611203098149"/>
          <c:h val="0.7711632434833444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bg1"/>
              </a:solidFill>
            </a:ln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solidFill>
                  <a:schemeClr val="bg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F4D-47FD-B1B4-EE171AD0FE0E}"/>
              </c:ext>
            </c:extLst>
          </c:dPt>
          <c:dPt>
            <c:idx val="1"/>
            <c:spPr>
              <a:solidFill>
                <a:schemeClr val="accent2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4D-47FD-B1B4-EE171AD0FE0E}"/>
              </c:ext>
            </c:extLst>
          </c:dPt>
          <c:dPt>
            <c:idx val="2"/>
            <c:spPr>
              <a:solidFill>
                <a:schemeClr val="accent3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DD-463E-808B-0A235B771273}"/>
              </c:ext>
            </c:extLst>
          </c:dPt>
          <c:dPt>
            <c:idx val="3"/>
            <c:spPr>
              <a:solidFill>
                <a:schemeClr val="accent4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4D-47FD-B1B4-EE171AD0FE0E}"/>
              </c:ext>
            </c:extLst>
          </c:dPt>
          <c:dPt>
            <c:idx val="4"/>
            <c:spPr>
              <a:solidFill>
                <a:schemeClr val="accent5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F4D-47FD-B1B4-EE171AD0FE0E}"/>
              </c:ext>
            </c:extLst>
          </c:dPt>
          <c:dPt>
            <c:idx val="5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4D-47FD-B1B4-EE171AD0FE0E}"/>
              </c:ext>
            </c:extLst>
          </c:dPt>
          <c:dLbls>
            <c:dLbl>
              <c:idx val="1"/>
              <c:layout>
                <c:manualLayout>
                  <c:x val="-5.8030138291085213E-2"/>
                  <c:y val="-8.912499274251692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4D-47FD-B1B4-EE171AD0FE0E}"/>
                </c:ext>
              </c:extLst>
            </c:dLbl>
            <c:dLbl>
              <c:idx val="3"/>
              <c:layout>
                <c:manualLayout>
                  <c:x val="9.7075716895256833E-2"/>
                  <c:y val="2.334739359120557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4D-47FD-B1B4-EE171AD0F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 założenia'!$B$32:$B$37</c:f>
              <c:strCache>
                <c:ptCount val="6"/>
                <c:pt idx="0">
                  <c:v>węgiel</c:v>
                </c:pt>
                <c:pt idx="1">
                  <c:v>olej opałowy</c:v>
                </c:pt>
                <c:pt idx="2">
                  <c:v>gaz</c:v>
                </c:pt>
                <c:pt idx="3">
                  <c:v>energia elektryczna</c:v>
                </c:pt>
                <c:pt idx="4">
                  <c:v>OZE</c:v>
                </c:pt>
                <c:pt idx="5">
                  <c:v>ciepło sieciowe</c:v>
                </c:pt>
              </c:strCache>
            </c:strRef>
          </c:cat>
          <c:val>
            <c:numRef>
              <c:f>'Ciepło założenia'!$C$32:$C$37</c:f>
              <c:numCache>
                <c:formatCode>0.00%</c:formatCode>
                <c:ptCount val="6"/>
                <c:pt idx="0">
                  <c:v>0.40081113149105047</c:v>
                </c:pt>
                <c:pt idx="1">
                  <c:v>2.17587103169826E-2</c:v>
                </c:pt>
                <c:pt idx="2">
                  <c:v>0.36349169882346577</c:v>
                </c:pt>
                <c:pt idx="3">
                  <c:v>2.6118272222361859E-2</c:v>
                </c:pt>
                <c:pt idx="4">
                  <c:v>7.6952611668415286E-2</c:v>
                </c:pt>
                <c:pt idx="5">
                  <c:v>0.11086757547772412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4D-47FD-B1B4-EE171AD0FE0E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8374984847965325"/>
          <c:y val="0.14830631482764409"/>
          <c:w val="0.286939835464949"/>
          <c:h val="0.7930771784709511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STRUKTURA PALIW - 2024r.</a:t>
            </a:r>
          </a:p>
        </c:rich>
      </c:tx>
      <c:layout>
        <c:manualLayout>
          <c:xMode val="edge"/>
          <c:yMode val="edge"/>
          <c:x val="0.26827051145383796"/>
          <c:y val="3.6879569748217482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0749730931038192E-2"/>
          <c:y val="0.15176594997494422"/>
          <c:w val="0.5017611203098149"/>
          <c:h val="0.7711632434833444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bg1"/>
              </a:solidFill>
            </a:ln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solidFill>
                  <a:schemeClr val="bg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6E-4AAA-970F-12598453E4F6}"/>
              </c:ext>
            </c:extLst>
          </c:dPt>
          <c:dPt>
            <c:idx val="1"/>
            <c:spPr>
              <a:solidFill>
                <a:schemeClr val="accent2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6E-4AAA-970F-12598453E4F6}"/>
              </c:ext>
            </c:extLst>
          </c:dPt>
          <c:dPt>
            <c:idx val="2"/>
            <c:spPr>
              <a:solidFill>
                <a:schemeClr val="accent3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6E-4AAA-970F-12598453E4F6}"/>
              </c:ext>
            </c:extLst>
          </c:dPt>
          <c:dPt>
            <c:idx val="3"/>
            <c:spPr>
              <a:solidFill>
                <a:schemeClr val="accent4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6E-4AAA-970F-12598453E4F6}"/>
              </c:ext>
            </c:extLst>
          </c:dPt>
          <c:dPt>
            <c:idx val="4"/>
            <c:spPr>
              <a:solidFill>
                <a:schemeClr val="accent5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6E-4AAA-970F-12598453E4F6}"/>
              </c:ext>
            </c:extLst>
          </c:dPt>
          <c:dPt>
            <c:idx val="5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86E-4AAA-970F-12598453E4F6}"/>
              </c:ext>
            </c:extLst>
          </c:dPt>
          <c:dLbls>
            <c:dLbl>
              <c:idx val="1"/>
              <c:layout>
                <c:manualLayout>
                  <c:x val="-9.7622565519598817E-2"/>
                  <c:y val="-2.58543802678439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6E-4AAA-970F-12598453E4F6}"/>
                </c:ext>
              </c:extLst>
            </c:dLbl>
            <c:dLbl>
              <c:idx val="3"/>
              <c:layout>
                <c:manualLayout>
                  <c:x val="8.775985166501836E-2"/>
                  <c:y val="8.777693287208626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6E-4AAA-970F-12598453E4F6}"/>
                </c:ext>
              </c:extLst>
            </c:dLbl>
            <c:dLbl>
              <c:idx val="4"/>
              <c:layout>
                <c:manualLayout>
                  <c:x val="8.0756264873521541E-2"/>
                  <c:y val="9.104439527130889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6E-4AAA-970F-12598453E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 założenia'!$B$42:$B$47</c:f>
              <c:strCache>
                <c:ptCount val="6"/>
                <c:pt idx="0">
                  <c:v>węgiel</c:v>
                </c:pt>
                <c:pt idx="1">
                  <c:v>olej opałowy</c:v>
                </c:pt>
                <c:pt idx="2">
                  <c:v>gaz</c:v>
                </c:pt>
                <c:pt idx="3">
                  <c:v>energia elektryczna</c:v>
                </c:pt>
                <c:pt idx="4">
                  <c:v>OZE</c:v>
                </c:pt>
                <c:pt idx="5">
                  <c:v>ciepło sieciowe</c:v>
                </c:pt>
              </c:strCache>
            </c:strRef>
          </c:cat>
          <c:val>
            <c:numRef>
              <c:f>'Ciepło założenia'!$C$42:$C$47</c:f>
              <c:numCache>
                <c:formatCode>0.00%</c:formatCode>
                <c:ptCount val="6"/>
                <c:pt idx="0">
                  <c:v>0.20153652879783535</c:v>
                </c:pt>
                <c:pt idx="1">
                  <c:v>8.3228643216080398E-3</c:v>
                </c:pt>
                <c:pt idx="2">
                  <c:v>0.48209798994974873</c:v>
                </c:pt>
                <c:pt idx="3">
                  <c:v>0.10599874371859297</c:v>
                </c:pt>
                <c:pt idx="4">
                  <c:v>0.12132779281020488</c:v>
                </c:pt>
                <c:pt idx="5">
                  <c:v>8.0716080402010046E-2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86E-4AAA-970F-12598453E4F6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8374984847965325"/>
          <c:y val="0.14830631482764409"/>
          <c:w val="0.286939835464949"/>
          <c:h val="0.7930771784709511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22-4EE1-AFE2-766AFF07E862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22-4EE1-AFE2-766AFF07E862}"/>
              </c:ext>
            </c:extLst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22-4EE1-AFE2-766AFF07E862}"/>
              </c:ext>
            </c:extLst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22-4EE1-AFE2-766AFF07E862}"/>
              </c:ext>
            </c:extLst>
          </c:dPt>
          <c:dPt>
            <c:idx val="4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322-4EE1-AFE2-766AFF07E862}"/>
              </c:ext>
            </c:extLst>
          </c:dPt>
          <c:dPt>
            <c:idx val="5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22-4EE1-AFE2-766AFF07E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'Ciepło_gosp. dom._2020'!$E$5:$E$10</c:f>
              <c:strCache>
                <c:ptCount val="6"/>
                <c:pt idx="0">
                  <c:v>ciepło sieciowe</c:v>
                </c:pt>
                <c:pt idx="1">
                  <c:v>gaz</c:v>
                </c:pt>
                <c:pt idx="2">
                  <c:v>węgiel</c:v>
                </c:pt>
                <c:pt idx="3">
                  <c:v>en. elektryczna</c:v>
                </c:pt>
                <c:pt idx="4">
                  <c:v>olej opałowy</c:v>
                </c:pt>
                <c:pt idx="5">
                  <c:v>biomasa</c:v>
                </c:pt>
              </c:strCache>
            </c:strRef>
          </c:cat>
          <c:val>
            <c:numRef>
              <c:f>'Ciepło_gosp. dom._2020'!$F$5:$F$10</c:f>
              <c:numCache>
                <c:formatCode>0.00%</c:formatCode>
                <c:ptCount val="6"/>
                <c:pt idx="0">
                  <c:v>0.11086757547772412</c:v>
                </c:pt>
                <c:pt idx="1">
                  <c:v>0.36349169882346577</c:v>
                </c:pt>
                <c:pt idx="2">
                  <c:v>0.40081113149105047</c:v>
                </c:pt>
                <c:pt idx="3">
                  <c:v>2.6118272222361859E-2</c:v>
                </c:pt>
                <c:pt idx="4">
                  <c:v>2.17587103169826E-2</c:v>
                </c:pt>
                <c:pt idx="5">
                  <c:v>7.6952611668415286E-2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31-4777-B677-448CD69DA739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title>
      <c:tx>
        <c:rich>
          <a:bodyPr/>
          <a:lstStyle/>
          <a:p>
            <a:pPr>
              <a:defRPr/>
            </a:pPr>
            <a:r>
              <a:rPr lang="pl-PL"/>
              <a:t>Ogólna powierzchnia mieszkań na terenie gminy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Charakterystyka_2020!$B$65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Charakterystyka_2020!$L$66:$P$66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Charakterystyka_2020!$L$67:$P$67</c:f>
              <c:numCache>
                <c:formatCode>General</c:formatCode>
                <c:ptCount val="5"/>
                <c:pt idx="0">
                  <c:v>372656</c:v>
                </c:pt>
                <c:pt idx="1">
                  <c:v>375271</c:v>
                </c:pt>
                <c:pt idx="2">
                  <c:v>379958</c:v>
                </c:pt>
                <c:pt idx="3">
                  <c:v>386716</c:v>
                </c:pt>
                <c:pt idx="4">
                  <c:v>390805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F2-472E-BC37-56E801E0B512}"/>
            </c:ext>
          </c:extLst>
        </c:ser>
        <c:axId val="144732160"/>
        <c:axId val="144733696"/>
      </c:barChart>
      <c:catAx>
        <c:axId val="144732160"/>
        <c:scaling>
          <c:orientation val="minMax"/>
        </c:scaling>
        <c:axPos val="b"/>
        <c:numFmt formatCode="0" sourceLinked="1"/>
        <c:tickLblPos val="nextTo"/>
        <c:crossAx val="144733696"/>
        <c:crosses val="autoZero"/>
        <c:auto val="1"/>
        <c:lblAlgn val="ctr"/>
        <c:lblOffset val="100"/>
      </c:catAx>
      <c:valAx>
        <c:axId val="144733696"/>
        <c:scaling>
          <c:orientation val="minMax"/>
        </c:scaling>
        <c:axPos val="l"/>
        <c:majorGridlines/>
        <c:numFmt formatCode="General" sourceLinked="1"/>
        <c:tickLblPos val="nextTo"/>
        <c:crossAx val="14473216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2014 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explosion val="2"/>
          <c:dPt>
            <c:idx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C3-404B-8734-7E6A65F13DEB}"/>
              </c:ext>
            </c:extLst>
          </c:dPt>
          <c:dPt>
            <c:idx val="1"/>
            <c:spPr>
              <a:solidFill>
                <a:srgbClr val="E0E00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C3-404B-8734-7E6A65F13DEB}"/>
              </c:ext>
            </c:extLst>
          </c:dPt>
          <c:dPt>
            <c:idx val="2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4C3-404B-8734-7E6A65F13DEB}"/>
              </c:ext>
            </c:extLst>
          </c:dPt>
          <c:dPt>
            <c:idx val="3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C3-404B-8734-7E6A65F13DEB}"/>
              </c:ext>
            </c:extLst>
          </c:dPt>
          <c:dPt>
            <c:idx val="4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4C3-404B-8734-7E6A65F13DEB}"/>
              </c:ext>
            </c:extLst>
          </c:dPt>
          <c:dPt>
            <c:idx val="5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4C3-404B-8734-7E6A65F13D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'Ciepło_gosp. dom._2024'!$E$5:$E$10</c:f>
              <c:strCache>
                <c:ptCount val="6"/>
                <c:pt idx="0">
                  <c:v>ciepło sieciowe</c:v>
                </c:pt>
                <c:pt idx="1">
                  <c:v>gaz</c:v>
                </c:pt>
                <c:pt idx="2">
                  <c:v>węgiel</c:v>
                </c:pt>
                <c:pt idx="3">
                  <c:v>en. elektryczna</c:v>
                </c:pt>
                <c:pt idx="4">
                  <c:v>olej opałowy</c:v>
                </c:pt>
                <c:pt idx="5">
                  <c:v>OZE</c:v>
                </c:pt>
              </c:strCache>
            </c:strRef>
          </c:cat>
          <c:val>
            <c:numRef>
              <c:f>'Ciepło_gosp. dom._2024'!$F$5:$F$10</c:f>
              <c:numCache>
                <c:formatCode>0.00%</c:formatCode>
                <c:ptCount val="6"/>
                <c:pt idx="0">
                  <c:v>0.11086757547772412</c:v>
                </c:pt>
                <c:pt idx="1">
                  <c:v>0.36349169882346577</c:v>
                </c:pt>
                <c:pt idx="2">
                  <c:v>0.40081113149105047</c:v>
                </c:pt>
                <c:pt idx="3">
                  <c:v>2.6118272222361859E-2</c:v>
                </c:pt>
                <c:pt idx="4">
                  <c:v>2.17587103169826E-2</c:v>
                </c:pt>
                <c:pt idx="5">
                  <c:v>7.6952611668415286E-2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4C3-404B-8734-7E6A65F13DEB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2024 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explosion val="2"/>
          <c:dPt>
            <c:idx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8C-446D-860C-9B6D61B4D863}"/>
              </c:ext>
            </c:extLst>
          </c:dPt>
          <c:dPt>
            <c:idx val="1"/>
            <c:spPr>
              <a:solidFill>
                <a:srgbClr val="E0E00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88C-446D-860C-9B6D61B4D863}"/>
              </c:ext>
            </c:extLst>
          </c:dPt>
          <c:dPt>
            <c:idx val="2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88C-446D-860C-9B6D61B4D863}"/>
              </c:ext>
            </c:extLst>
          </c:dPt>
          <c:dPt>
            <c:idx val="3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88C-446D-860C-9B6D61B4D863}"/>
              </c:ext>
            </c:extLst>
          </c:dPt>
          <c:dPt>
            <c:idx val="4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88C-446D-860C-9B6D61B4D863}"/>
              </c:ext>
            </c:extLst>
          </c:dPt>
          <c:dPt>
            <c:idx val="5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88C-446D-860C-9B6D61B4D8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'Ciepło_gosp. dom._2024'!$E$14:$E$19</c:f>
              <c:strCache>
                <c:ptCount val="6"/>
                <c:pt idx="0">
                  <c:v>ciepło sieciowe</c:v>
                </c:pt>
                <c:pt idx="1">
                  <c:v>gaz</c:v>
                </c:pt>
                <c:pt idx="2">
                  <c:v>węgiel</c:v>
                </c:pt>
                <c:pt idx="3">
                  <c:v>en. elektryczna</c:v>
                </c:pt>
                <c:pt idx="4">
                  <c:v>olej opałowy</c:v>
                </c:pt>
                <c:pt idx="5">
                  <c:v>OZE</c:v>
                </c:pt>
              </c:strCache>
            </c:strRef>
          </c:cat>
          <c:val>
            <c:numRef>
              <c:f>'Ciepło_gosp. dom._2024'!$F$14:$F$19</c:f>
              <c:numCache>
                <c:formatCode>0.00%</c:formatCode>
                <c:ptCount val="6"/>
                <c:pt idx="0">
                  <c:v>8.0716080402010046E-2</c:v>
                </c:pt>
                <c:pt idx="1">
                  <c:v>0.48209798994974873</c:v>
                </c:pt>
                <c:pt idx="2">
                  <c:v>0.20153652879783535</c:v>
                </c:pt>
                <c:pt idx="3">
                  <c:v>0.10599874371859297</c:v>
                </c:pt>
                <c:pt idx="4">
                  <c:v>8.3228643216080398E-3</c:v>
                </c:pt>
                <c:pt idx="5">
                  <c:v>0.12132779281020488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88C-446D-860C-9B6D61B4D863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4"/>
  <c:chart>
    <c:title>
      <c:tx>
        <c:rich>
          <a:bodyPr/>
          <a:lstStyle/>
          <a:p>
            <a:pPr>
              <a:defRPr/>
            </a:pPr>
            <a:r>
              <a:rPr lang="pl-PL"/>
              <a:t>Średnia powierzchnia mieszkań na terenie gminy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Charakterystyka_2020!$B$84</c:f>
              <c:strCache>
                <c:ptCount val="1"/>
                <c:pt idx="0">
                  <c:v>Średnia powierzchnia mieszkań 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Charakterystyka_2020!$L$85:$P$85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Charakterystyka_2020!$L$86:$P$86</c:f>
              <c:numCache>
                <c:formatCode>#,##0.0</c:formatCode>
                <c:ptCount val="5"/>
                <c:pt idx="0">
                  <c:v>72.855522971652007</c:v>
                </c:pt>
                <c:pt idx="1">
                  <c:v>72.698760170476561</c:v>
                </c:pt>
                <c:pt idx="2">
                  <c:v>72.691409986607994</c:v>
                </c:pt>
                <c:pt idx="3">
                  <c:v>72.554596622889306</c:v>
                </c:pt>
                <c:pt idx="4">
                  <c:v>72.74851079672375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C-4770-B8BB-9537FA9CB058}"/>
            </c:ext>
          </c:extLst>
        </c:ser>
        <c:axId val="144766080"/>
        <c:axId val="144767616"/>
      </c:barChart>
      <c:catAx>
        <c:axId val="144766080"/>
        <c:scaling>
          <c:orientation val="minMax"/>
        </c:scaling>
        <c:axPos val="b"/>
        <c:numFmt formatCode="0" sourceLinked="1"/>
        <c:tickLblPos val="nextTo"/>
        <c:crossAx val="144767616"/>
        <c:crosses val="autoZero"/>
        <c:auto val="1"/>
        <c:lblAlgn val="ctr"/>
        <c:lblOffset val="100"/>
      </c:catAx>
      <c:valAx>
        <c:axId val="144767616"/>
        <c:scaling>
          <c:orientation val="minMax"/>
        </c:scaling>
        <c:axPos val="l"/>
        <c:majorGridlines/>
        <c:numFmt formatCode="#,##0.0" sourceLinked="1"/>
        <c:tickLblPos val="nextTo"/>
        <c:crossAx val="14476608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title>
      <c:tx>
        <c:rich>
          <a:bodyPr/>
          <a:lstStyle/>
          <a:p>
            <a:pPr>
              <a:defRPr/>
            </a:pPr>
            <a:r>
              <a:rPr lang="pl-PL"/>
              <a:t>Liczba podmiotów gospodarczych zarejestrowanych na terenie gminy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Charakterystyka_2020!$B$103:$D$103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Charakterystyka_2020!$L$104:$Q$104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Charakterystyka_2020!$L$105:$Q$105</c:f>
              <c:numCache>
                <c:formatCode>#,##0</c:formatCode>
                <c:ptCount val="6"/>
                <c:pt idx="0">
                  <c:v>1472</c:v>
                </c:pt>
                <c:pt idx="1">
                  <c:v>1459</c:v>
                </c:pt>
                <c:pt idx="2">
                  <c:v>1484</c:v>
                </c:pt>
                <c:pt idx="3">
                  <c:v>1589</c:v>
                </c:pt>
                <c:pt idx="4">
                  <c:v>1679</c:v>
                </c:pt>
                <c:pt idx="5">
                  <c:v>1889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EC-4C24-84E7-B9ED42AF6C84}"/>
            </c:ext>
          </c:extLst>
        </c:ser>
        <c:axId val="145434880"/>
        <c:axId val="145440768"/>
      </c:barChart>
      <c:catAx>
        <c:axId val="145434880"/>
        <c:scaling>
          <c:orientation val="minMax"/>
        </c:scaling>
        <c:axPos val="b"/>
        <c:numFmt formatCode="0" sourceLinked="1"/>
        <c:tickLblPos val="nextTo"/>
        <c:crossAx val="145440768"/>
        <c:crosses val="autoZero"/>
        <c:auto val="1"/>
        <c:lblAlgn val="ctr"/>
        <c:lblOffset val="100"/>
      </c:catAx>
      <c:valAx>
        <c:axId val="145440768"/>
        <c:scaling>
          <c:orientation val="minMax"/>
        </c:scaling>
        <c:axPos val="l"/>
        <c:majorGridlines/>
        <c:numFmt formatCode="#,##0" sourceLinked="1"/>
        <c:tickLblPos val="nextTo"/>
        <c:crossAx val="14543488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mieszkańców</a:t>
            </a:r>
            <a:endParaRPr lang="pl-PL"/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Charakterystyka_2020!$AB$7</c:f>
              <c:strCache>
                <c:ptCount val="1"/>
                <c:pt idx="0">
                  <c:v>Prognoza liczby mieszkańców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(Charakterystyka_2020!$C$10:$K$10,Charakterystyka_2020!$L$9,Charakterystyka_2020!$AD$9:$AI$9)</c:f>
              <c:numCache>
                <c:formatCode>General</c:formatCode>
                <c:ptCount val="16"/>
                <c:pt idx="9">
                  <c:v>10719</c:v>
                </c:pt>
                <c:pt idx="10" formatCode="#,##0">
                  <c:v>10698</c:v>
                </c:pt>
                <c:pt idx="11" formatCode="#,##0">
                  <c:v>10677</c:v>
                </c:pt>
                <c:pt idx="12" formatCode="#,##0">
                  <c:v>10656</c:v>
                </c:pt>
                <c:pt idx="13" formatCode="#,##0">
                  <c:v>10635</c:v>
                </c:pt>
                <c:pt idx="14" formatCode="#,##0">
                  <c:v>10614</c:v>
                </c:pt>
                <c:pt idx="15" formatCode="#,##0">
                  <c:v>10593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0CC-4521-BD6B-DD344DA25F08}"/>
            </c:ext>
          </c:extLst>
        </c:ser>
        <c:ser>
          <c:idx val="0"/>
          <c:order val="1"/>
          <c:tx>
            <c:strRef>
              <c:f>Charakterystyka_2020!$B$7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Charakterystyka_2020!$C$9:$L$9</c:f>
              <c:numCache>
                <c:formatCode>General</c:formatCode>
                <c:ptCount val="10"/>
                <c:pt idx="0" formatCode="#,##0">
                  <c:v>10869</c:v>
                </c:pt>
                <c:pt idx="1">
                  <c:v>10907</c:v>
                </c:pt>
                <c:pt idx="2">
                  <c:v>10863</c:v>
                </c:pt>
                <c:pt idx="3">
                  <c:v>10874</c:v>
                </c:pt>
                <c:pt idx="4">
                  <c:v>10846</c:v>
                </c:pt>
                <c:pt idx="5">
                  <c:v>10944</c:v>
                </c:pt>
                <c:pt idx="6">
                  <c:v>10880</c:v>
                </c:pt>
                <c:pt idx="7">
                  <c:v>10791</c:v>
                </c:pt>
                <c:pt idx="8">
                  <c:v>10791</c:v>
                </c:pt>
                <c:pt idx="9">
                  <c:v>10719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0CC-4521-BD6B-DD344DA25F08}"/>
            </c:ext>
          </c:extLst>
        </c:ser>
        <c:marker val="1"/>
        <c:axId val="145478016"/>
        <c:axId val="145479552"/>
      </c:lineChart>
      <c:catAx>
        <c:axId val="145478016"/>
        <c:scaling>
          <c:orientation val="minMax"/>
        </c:scaling>
        <c:axPos val="b"/>
        <c:numFmt formatCode="0" sourceLinked="1"/>
        <c:tickLblPos val="nextTo"/>
        <c:crossAx val="145479552"/>
        <c:crosses val="autoZero"/>
        <c:auto val="1"/>
        <c:lblAlgn val="ctr"/>
        <c:lblOffset val="100"/>
        <c:tickLblSkip val="1"/>
      </c:catAx>
      <c:valAx>
        <c:axId val="145479552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145478016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Charakterystyka_2020!$B$26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cat>
            <c:numRef>
              <c:f>Charakterystyka_2020!$L$27:$P$27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Charakterystyka_2020!$L$28:$P$28</c:f>
              <c:numCache>
                <c:formatCode>General</c:formatCode>
                <c:ptCount val="5"/>
                <c:pt idx="0">
                  <c:v>5115</c:v>
                </c:pt>
                <c:pt idx="1">
                  <c:v>5162</c:v>
                </c:pt>
                <c:pt idx="2">
                  <c:v>5227</c:v>
                </c:pt>
                <c:pt idx="3">
                  <c:v>5330</c:v>
                </c:pt>
                <c:pt idx="4">
                  <c:v>5372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E1-41B1-997D-F474DCE04AF9}"/>
            </c:ext>
          </c:extLst>
        </c:ser>
        <c:axId val="145774080"/>
        <c:axId val="145775616"/>
      </c:barChart>
      <c:catAx>
        <c:axId val="145774080"/>
        <c:scaling>
          <c:orientation val="minMax"/>
        </c:scaling>
        <c:axPos val="b"/>
        <c:numFmt formatCode="0" sourceLinked="1"/>
        <c:tickLblPos val="nextTo"/>
        <c:crossAx val="145775616"/>
        <c:crosses val="autoZero"/>
        <c:auto val="1"/>
        <c:lblAlgn val="ctr"/>
        <c:lblOffset val="100"/>
      </c:catAx>
      <c:valAx>
        <c:axId val="145775616"/>
        <c:scaling>
          <c:orientation val="minMax"/>
        </c:scaling>
        <c:axPos val="l"/>
        <c:majorGridlines/>
        <c:numFmt formatCode="General" sourceLinked="1"/>
        <c:tickLblPos val="nextTo"/>
        <c:crossAx val="14577408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</a:t>
            </a:r>
            <a:endParaRPr lang="pl-PL"/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Charakterystyka_2020!$AB$26</c:f>
              <c:strCache>
                <c:ptCount val="1"/>
                <c:pt idx="0">
                  <c:v>Prognoza liczby mieszkań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(Charakterystyka_2020!$C$29:$K$29,Charakterystyka_2020!$L$28,Charakterystyka_2020!$AD$28:$AI$28)</c:f>
              <c:numCache>
                <c:formatCode>General</c:formatCode>
                <c:ptCount val="16"/>
                <c:pt idx="9">
                  <c:v>5115</c:v>
                </c:pt>
                <c:pt idx="10" formatCode="#,##0">
                  <c:v>5178</c:v>
                </c:pt>
                <c:pt idx="11" formatCode="#,##0">
                  <c:v>5241</c:v>
                </c:pt>
                <c:pt idx="12" formatCode="#,##0">
                  <c:v>5305</c:v>
                </c:pt>
                <c:pt idx="13" formatCode="#,##0">
                  <c:v>5370</c:v>
                </c:pt>
                <c:pt idx="14" formatCode="#,##0">
                  <c:v>5436</c:v>
                </c:pt>
                <c:pt idx="15" formatCode="#,##0">
                  <c:v>5503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79B-4C90-A871-05FEA485A0C6}"/>
            </c:ext>
          </c:extLst>
        </c:ser>
        <c:ser>
          <c:idx val="0"/>
          <c:order val="1"/>
          <c:tx>
            <c:strRef>
              <c:f>Charakterystyka_2020!$B$26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Charakterystyka_2020!$C$28:$L$28</c:f>
              <c:numCache>
                <c:formatCode>General</c:formatCode>
                <c:ptCount val="10"/>
                <c:pt idx="0">
                  <c:v>4696</c:v>
                </c:pt>
                <c:pt idx="1">
                  <c:v>4765</c:v>
                </c:pt>
                <c:pt idx="2">
                  <c:v>4773</c:v>
                </c:pt>
                <c:pt idx="3">
                  <c:v>4883</c:v>
                </c:pt>
                <c:pt idx="4">
                  <c:v>4932</c:v>
                </c:pt>
                <c:pt idx="5">
                  <c:v>4967</c:v>
                </c:pt>
                <c:pt idx="6">
                  <c:v>5016</c:v>
                </c:pt>
                <c:pt idx="7">
                  <c:v>5034</c:v>
                </c:pt>
                <c:pt idx="8">
                  <c:v>5112</c:v>
                </c:pt>
                <c:pt idx="9">
                  <c:v>5115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79B-4C90-A871-05FEA485A0C6}"/>
            </c:ext>
          </c:extLst>
        </c:ser>
        <c:marker val="1"/>
        <c:axId val="145812864"/>
        <c:axId val="145822848"/>
      </c:lineChart>
      <c:catAx>
        <c:axId val="145812864"/>
        <c:scaling>
          <c:orientation val="minMax"/>
        </c:scaling>
        <c:axPos val="b"/>
        <c:numFmt formatCode="0" sourceLinked="1"/>
        <c:tickLblPos val="nextTo"/>
        <c:crossAx val="145822848"/>
        <c:crosses val="autoZero"/>
        <c:auto val="1"/>
        <c:lblAlgn val="ctr"/>
        <c:lblOffset val="100"/>
        <c:tickLblSkip val="2"/>
      </c:catAx>
      <c:valAx>
        <c:axId val="145822848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145812864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Prognoza powierzchni mieszkań</a:t>
            </a:r>
          </a:p>
        </c:rich>
      </c:tx>
      <c:spPr>
        <a:noFill/>
        <a:ln>
          <a:noFill/>
        </a:ln>
        <a:effectLst/>
      </c:spPr>
    </c:title>
    <c:plotArea>
      <c:layout/>
      <c:lineChart>
        <c:grouping val="standard"/>
        <c:ser>
          <c:idx val="1"/>
          <c:order val="0"/>
          <c:tx>
            <c:strRef>
              <c:f>Charakterystyka_2020!$AB$65</c:f>
              <c:strCache>
                <c:ptCount val="1"/>
                <c:pt idx="0">
                  <c:v>Prognoza ogólnej powierzchni mieszkań [m2]</c:v>
                </c:pt>
              </c:strCache>
            </c:strRef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(Charakterystyka_2020!$C$68:$K$68,Charakterystyka_2020!$L$67,Charakterystyka_2020!$AD$67:$AI$67)</c:f>
              <c:numCache>
                <c:formatCode>General</c:formatCode>
                <c:ptCount val="16"/>
                <c:pt idx="9">
                  <c:v>372656</c:v>
                </c:pt>
                <c:pt idx="10" formatCode="#,##0">
                  <c:v>377112</c:v>
                </c:pt>
                <c:pt idx="11" formatCode="#,##0">
                  <c:v>381621</c:v>
                </c:pt>
                <c:pt idx="12" formatCode="#,##0">
                  <c:v>386184</c:v>
                </c:pt>
                <c:pt idx="13" formatCode="#,##0">
                  <c:v>390802</c:v>
                </c:pt>
                <c:pt idx="14" formatCode="#,##0">
                  <c:v>395475</c:v>
                </c:pt>
                <c:pt idx="15" formatCode="#,##0">
                  <c:v>400204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8F3-45BE-943F-1CAB823E95AF}"/>
            </c:ext>
          </c:extLst>
        </c:ser>
        <c:ser>
          <c:idx val="0"/>
          <c:order val="1"/>
          <c:tx>
            <c:strRef>
              <c:f>Charakterystyka_2020!$B$65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Charakterystyka_2020!$C$67:$L$67</c:f>
              <c:numCache>
                <c:formatCode>General</c:formatCode>
                <c:ptCount val="10"/>
                <c:pt idx="0">
                  <c:v>333934</c:v>
                </c:pt>
                <c:pt idx="1">
                  <c:v>338056</c:v>
                </c:pt>
                <c:pt idx="2">
                  <c:v>339240</c:v>
                </c:pt>
                <c:pt idx="3">
                  <c:v>344820</c:v>
                </c:pt>
                <c:pt idx="4">
                  <c:v>352841</c:v>
                </c:pt>
                <c:pt idx="5">
                  <c:v>360198</c:v>
                </c:pt>
                <c:pt idx="6">
                  <c:v>363498</c:v>
                </c:pt>
                <c:pt idx="7">
                  <c:v>365890</c:v>
                </c:pt>
                <c:pt idx="8">
                  <c:v>371679</c:v>
                </c:pt>
                <c:pt idx="9">
                  <c:v>372656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8F3-45BE-943F-1CAB823E95AF}"/>
            </c:ext>
          </c:extLst>
        </c:ser>
        <c:marker val="1"/>
        <c:axId val="145967744"/>
        <c:axId val="145978112"/>
      </c:lineChart>
      <c:catAx>
        <c:axId val="145967744"/>
        <c:scaling>
          <c:orientation val="minMax"/>
        </c:scaling>
        <c:axPos val="b"/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5978112"/>
        <c:crosses val="autoZero"/>
        <c:auto val="1"/>
        <c:lblAlgn val="ctr"/>
        <c:lblOffset val="100"/>
        <c:tickLblSkip val="2"/>
      </c:catAx>
      <c:valAx>
        <c:axId val="145978112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5967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9</xdr:row>
      <xdr:rowOff>85725</xdr:rowOff>
    </xdr:from>
    <xdr:to>
      <xdr:col>17</xdr:col>
      <xdr:colOff>470057</xdr:colOff>
      <xdr:row>24</xdr:row>
      <xdr:rowOff>225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17</xdr:col>
      <xdr:colOff>479583</xdr:colOff>
      <xdr:row>63</xdr:row>
      <xdr:rowOff>105000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17</xdr:col>
      <xdr:colOff>479583</xdr:colOff>
      <xdr:row>82</xdr:row>
      <xdr:rowOff>105000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86</xdr:row>
      <xdr:rowOff>114300</xdr:rowOff>
    </xdr:from>
    <xdr:to>
      <xdr:col>17</xdr:col>
      <xdr:colOff>479583</xdr:colOff>
      <xdr:row>101</xdr:row>
      <xdr:rowOff>28800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17</xdr:col>
      <xdr:colOff>479583</xdr:colOff>
      <xdr:row>120</xdr:row>
      <xdr:rowOff>105000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111502</xdr:colOff>
      <xdr:row>9</xdr:row>
      <xdr:rowOff>99785</xdr:rowOff>
    </xdr:from>
    <xdr:to>
      <xdr:col>35</xdr:col>
      <xdr:colOff>432335</xdr:colOff>
      <xdr:row>24</xdr:row>
      <xdr:rowOff>14285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17</xdr:col>
      <xdr:colOff>479583</xdr:colOff>
      <xdr:row>43</xdr:row>
      <xdr:rowOff>105000</xdr:rowOff>
    </xdr:to>
    <xdr:graphicFrame macro="">
      <xdr:nvGraphicFramePr>
        <xdr:cNvPr id="21" name="Wykres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168653</xdr:colOff>
      <xdr:row>29</xdr:row>
      <xdr:rowOff>37872</xdr:rowOff>
    </xdr:from>
    <xdr:to>
      <xdr:col>35</xdr:col>
      <xdr:colOff>489486</xdr:colOff>
      <xdr:row>43</xdr:row>
      <xdr:rowOff>142872</xdr:rowOff>
    </xdr:to>
    <xdr:graphicFrame macro="">
      <xdr:nvGraphicFramePr>
        <xdr:cNvPr id="22" name="Wykres 2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404813</xdr:colOff>
      <xdr:row>67</xdr:row>
      <xdr:rowOff>130969</xdr:rowOff>
    </xdr:from>
    <xdr:to>
      <xdr:col>35</xdr:col>
      <xdr:colOff>189865</xdr:colOff>
      <xdr:row>82</xdr:row>
      <xdr:rowOff>57375</xdr:rowOff>
    </xdr:to>
    <xdr:graphicFrame macro="">
      <xdr:nvGraphicFramePr>
        <xdr:cNvPr id="23" name="Wykres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106</xdr:row>
      <xdr:rowOff>0</xdr:rowOff>
    </xdr:from>
    <xdr:to>
      <xdr:col>35</xdr:col>
      <xdr:colOff>320833</xdr:colOff>
      <xdr:row>120</xdr:row>
      <xdr:rowOff>105000</xdr:rowOff>
    </xdr:to>
    <xdr:graphicFrame macro="">
      <xdr:nvGraphicFramePr>
        <xdr:cNvPr id="25" name="Wykres 24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87</xdr:row>
      <xdr:rowOff>0</xdr:rowOff>
    </xdr:from>
    <xdr:to>
      <xdr:col>35</xdr:col>
      <xdr:colOff>207724</xdr:colOff>
      <xdr:row>101</xdr:row>
      <xdr:rowOff>146672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137584</xdr:colOff>
      <xdr:row>32</xdr:row>
      <xdr:rowOff>39157</xdr:rowOff>
    </xdr:from>
    <xdr:to>
      <xdr:col>2</xdr:col>
      <xdr:colOff>1217084</xdr:colOff>
      <xdr:row>36</xdr:row>
      <xdr:rowOff>63499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CA42761B-D4CB-4DFB-B83B-6C218085CC75}"/>
            </a:ext>
          </a:extLst>
        </xdr:cNvPr>
        <xdr:cNvSpPr txBox="1"/>
      </xdr:nvSpPr>
      <xdr:spPr>
        <a:xfrm>
          <a:off x="137584" y="6569074"/>
          <a:ext cx="3683000" cy="104034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ciepła sieciowgo została przeprowadzona w oparciu o </a:t>
          </a:r>
          <a:r>
            <a:rPr lang="pl-PL" sz="1100" b="1"/>
            <a:t>prognozwaną liczbę mieszkańców do roku 2024</a:t>
          </a:r>
          <a:endParaRPr lang="pl-PL" sz="1100" baseline="0"/>
        </a:p>
        <a:p>
          <a:endParaRPr lang="pl-PL" sz="900" i="1" baseline="0"/>
        </a:p>
      </xdr:txBody>
    </xdr:sp>
    <xdr:clientData/>
  </xdr:twoCellAnchor>
  <xdr:twoCellAnchor>
    <xdr:from>
      <xdr:col>0</xdr:col>
      <xdr:colOff>84666</xdr:colOff>
      <xdr:row>38</xdr:row>
      <xdr:rowOff>189442</xdr:rowOff>
    </xdr:from>
    <xdr:to>
      <xdr:col>4</xdr:col>
      <xdr:colOff>1428749</xdr:colOff>
      <xdr:row>58</xdr:row>
      <xdr:rowOff>10584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A818382C-086D-4445-879F-DDFBB426A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39</xdr:row>
      <xdr:rowOff>0</xdr:rowOff>
    </xdr:from>
    <xdr:to>
      <xdr:col>9</xdr:col>
      <xdr:colOff>423333</xdr:colOff>
      <xdr:row>58</xdr:row>
      <xdr:rowOff>11642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B6D7C9E6-9B55-4232-8157-FA0D8BA3C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212912</xdr:colOff>
      <xdr:row>1</xdr:row>
      <xdr:rowOff>67234</xdr:rowOff>
    </xdr:from>
    <xdr:to>
      <xdr:col>15</xdr:col>
      <xdr:colOff>571500</xdr:colOff>
      <xdr:row>6</xdr:row>
      <xdr:rowOff>22412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CC6E722D-2992-483A-86E3-5C0C98EC4B0C}"/>
            </a:ext>
          </a:extLst>
        </xdr:cNvPr>
        <xdr:cNvSpPr txBox="1"/>
      </xdr:nvSpPr>
      <xdr:spPr>
        <a:xfrm>
          <a:off x="10645588" y="257734"/>
          <a:ext cx="2017059" cy="119903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212912</xdr:colOff>
      <xdr:row>1</xdr:row>
      <xdr:rowOff>67234</xdr:rowOff>
    </xdr:from>
    <xdr:to>
      <xdr:col>15</xdr:col>
      <xdr:colOff>571500</xdr:colOff>
      <xdr:row>6</xdr:row>
      <xdr:rowOff>22412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B7925C26-1DE5-4B94-8119-25B9794AC268}"/>
            </a:ext>
          </a:extLst>
        </xdr:cNvPr>
        <xdr:cNvSpPr txBox="1"/>
      </xdr:nvSpPr>
      <xdr:spPr>
        <a:xfrm>
          <a:off x="10452287" y="257734"/>
          <a:ext cx="2015938" cy="120295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  <xdr:twoCellAnchor>
    <xdr:from>
      <xdr:col>13</xdr:col>
      <xdr:colOff>212912</xdr:colOff>
      <xdr:row>20</xdr:row>
      <xdr:rowOff>67234</xdr:rowOff>
    </xdr:from>
    <xdr:to>
      <xdr:col>15</xdr:col>
      <xdr:colOff>571500</xdr:colOff>
      <xdr:row>25</xdr:row>
      <xdr:rowOff>22412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B7925C26-1DE5-4B94-8119-25B9794AC268}"/>
            </a:ext>
          </a:extLst>
        </xdr:cNvPr>
        <xdr:cNvSpPr txBox="1"/>
      </xdr:nvSpPr>
      <xdr:spPr>
        <a:xfrm>
          <a:off x="10455088" y="257734"/>
          <a:ext cx="2017059" cy="119903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366059</xdr:colOff>
      <xdr:row>5</xdr:row>
      <xdr:rowOff>140698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FC51F8F6-B2D6-426C-B9C4-5666750396E3}"/>
            </a:ext>
          </a:extLst>
        </xdr:cNvPr>
        <xdr:cNvSpPr txBox="1"/>
      </xdr:nvSpPr>
      <xdr:spPr>
        <a:xfrm>
          <a:off x="10795000" y="190500"/>
          <a:ext cx="2017059" cy="119903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366059</xdr:colOff>
      <xdr:row>5</xdr:row>
      <xdr:rowOff>140698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2CD04E12-51C9-408D-9385-F5A3A0141D55}"/>
            </a:ext>
          </a:extLst>
        </xdr:cNvPr>
        <xdr:cNvSpPr txBox="1"/>
      </xdr:nvSpPr>
      <xdr:spPr>
        <a:xfrm>
          <a:off x="10829925" y="190500"/>
          <a:ext cx="2023409" cy="119797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366059</xdr:colOff>
      <xdr:row>5</xdr:row>
      <xdr:rowOff>140698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1798C84F-F55C-4AD9-A613-05D179CC10EE}"/>
            </a:ext>
          </a:extLst>
        </xdr:cNvPr>
        <xdr:cNvSpPr txBox="1"/>
      </xdr:nvSpPr>
      <xdr:spPr>
        <a:xfrm>
          <a:off x="11017250" y="190500"/>
          <a:ext cx="2017059" cy="119903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366059</xdr:colOff>
      <xdr:row>5</xdr:row>
      <xdr:rowOff>140698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D4E874EC-FC51-4670-8D34-5FC9F6BC3200}"/>
            </a:ext>
          </a:extLst>
        </xdr:cNvPr>
        <xdr:cNvSpPr txBox="1"/>
      </xdr:nvSpPr>
      <xdr:spPr>
        <a:xfrm>
          <a:off x="10591800" y="190500"/>
          <a:ext cx="2023409" cy="119797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1</xdr:rowOff>
    </xdr:from>
    <xdr:to>
      <xdr:col>13</xdr:col>
      <xdr:colOff>254934</xdr:colOff>
      <xdr:row>9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1BAE9251-90A7-4628-B9D9-4BD181ECE8AB}"/>
            </a:ext>
          </a:extLst>
        </xdr:cNvPr>
        <xdr:cNvSpPr txBox="1"/>
      </xdr:nvSpPr>
      <xdr:spPr>
        <a:xfrm>
          <a:off x="9801225" y="1581151"/>
          <a:ext cx="2017059" cy="7048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Dane z Urzędu Miasta Ciechocinka</a:t>
          </a:r>
          <a:endParaRPr lang="pl-PL" sz="1000" b="0" i="1" baseline="0"/>
        </a:p>
        <a:p>
          <a:pPr algn="l"/>
          <a:endParaRPr lang="pl-PL" sz="900" i="1" baseline="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1</xdr:rowOff>
    </xdr:from>
    <xdr:to>
      <xdr:col>13</xdr:col>
      <xdr:colOff>254934</xdr:colOff>
      <xdr:row>9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4E00F18B-7B8D-4CAD-B655-5E19954097B3}"/>
            </a:ext>
          </a:extLst>
        </xdr:cNvPr>
        <xdr:cNvSpPr txBox="1"/>
      </xdr:nvSpPr>
      <xdr:spPr>
        <a:xfrm>
          <a:off x="8848725" y="1581151"/>
          <a:ext cx="2017059" cy="7048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Dane z Urzędu Miasta Ciechocinka</a:t>
          </a:r>
          <a:endParaRPr lang="pl-PL" sz="1000" b="0" i="1" baseline="0"/>
        </a:p>
        <a:p>
          <a:pPr algn="l"/>
          <a:endParaRPr lang="pl-PL" sz="900" i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9</xdr:row>
      <xdr:rowOff>85725</xdr:rowOff>
    </xdr:from>
    <xdr:to>
      <xdr:col>17</xdr:col>
      <xdr:colOff>460532</xdr:colOff>
      <xdr:row>24</xdr:row>
      <xdr:rowOff>225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2E8291FA-ED84-4E69-90F4-DF1DFFEC1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17</xdr:col>
      <xdr:colOff>479583</xdr:colOff>
      <xdr:row>63</xdr:row>
      <xdr:rowOff>105000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43048B3B-1DC7-461D-99F8-08E056D6C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17</xdr:col>
      <xdr:colOff>479583</xdr:colOff>
      <xdr:row>82</xdr:row>
      <xdr:rowOff>105000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123B846E-2A00-40AF-8B18-BCEBECBAF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86</xdr:row>
      <xdr:rowOff>114300</xdr:rowOff>
    </xdr:from>
    <xdr:to>
      <xdr:col>17</xdr:col>
      <xdr:colOff>479583</xdr:colOff>
      <xdr:row>101</xdr:row>
      <xdr:rowOff>28800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949D456A-7913-4C3A-9BF1-9EB955C09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17</xdr:col>
      <xdr:colOff>479583</xdr:colOff>
      <xdr:row>120</xdr:row>
      <xdr:rowOff>105000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xmlns="" id="{A73E1517-2A37-439A-A128-6340C621B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111502</xdr:colOff>
      <xdr:row>9</xdr:row>
      <xdr:rowOff>99785</xdr:rowOff>
    </xdr:from>
    <xdr:to>
      <xdr:col>35</xdr:col>
      <xdr:colOff>432335</xdr:colOff>
      <xdr:row>24</xdr:row>
      <xdr:rowOff>14285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777E2C26-2C59-404E-A044-0FF89A78C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17</xdr:col>
      <xdr:colOff>479583</xdr:colOff>
      <xdr:row>43</xdr:row>
      <xdr:rowOff>105000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xmlns="" id="{E2334C18-90AD-470E-BB7B-F13CEB9D9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168653</xdr:colOff>
      <xdr:row>29</xdr:row>
      <xdr:rowOff>37872</xdr:rowOff>
    </xdr:from>
    <xdr:to>
      <xdr:col>35</xdr:col>
      <xdr:colOff>489486</xdr:colOff>
      <xdr:row>43</xdr:row>
      <xdr:rowOff>142872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xmlns="" id="{58BC5699-75DF-48FB-8FD3-355F2D8AC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404813</xdr:colOff>
      <xdr:row>67</xdr:row>
      <xdr:rowOff>130969</xdr:rowOff>
    </xdr:from>
    <xdr:to>
      <xdr:col>35</xdr:col>
      <xdr:colOff>189865</xdr:colOff>
      <xdr:row>82</xdr:row>
      <xdr:rowOff>57375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xmlns="" id="{2DB31D51-DB04-48B8-A58B-280A5F168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106</xdr:row>
      <xdr:rowOff>0</xdr:rowOff>
    </xdr:from>
    <xdr:to>
      <xdr:col>35</xdr:col>
      <xdr:colOff>320833</xdr:colOff>
      <xdr:row>120</xdr:row>
      <xdr:rowOff>105000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xmlns="" id="{392BDFCE-6028-41D7-B10D-5D000B8F6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87</xdr:row>
      <xdr:rowOff>0</xdr:rowOff>
    </xdr:from>
    <xdr:to>
      <xdr:col>35</xdr:col>
      <xdr:colOff>207724</xdr:colOff>
      <xdr:row>101</xdr:row>
      <xdr:rowOff>146672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xmlns="" id="{645F03FE-7A05-4705-ACD2-653BB3FE6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193075</xdr:colOff>
      <xdr:row>123</xdr:row>
      <xdr:rowOff>1</xdr:rowOff>
    </xdr:from>
    <xdr:to>
      <xdr:col>21</xdr:col>
      <xdr:colOff>128717</xdr:colOff>
      <xdr:row>137</xdr:row>
      <xdr:rowOff>38615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0</xdr:rowOff>
    </xdr:from>
    <xdr:to>
      <xdr:col>10</xdr:col>
      <xdr:colOff>1206499</xdr:colOff>
      <xdr:row>9</xdr:row>
      <xdr:rowOff>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6519334" y="624417"/>
          <a:ext cx="3926415" cy="143933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energii  została przeprowadzona w oparciu o </a:t>
          </a:r>
          <a:r>
            <a:rPr lang="pl-PL" sz="1100" b="1"/>
            <a:t>prognozowaną </a:t>
          </a:r>
          <a:r>
            <a:rPr lang="pl-PL" sz="1100" b="0" baseline="0"/>
            <a:t>liczbę mieszkańców w roku 2020.</a:t>
          </a:r>
          <a:endParaRPr lang="pl-PL" sz="1100" baseline="0"/>
        </a:p>
        <a:p>
          <a:endParaRPr lang="pl-PL" sz="900" i="1" baseline="0"/>
        </a:p>
        <a:p>
          <a:r>
            <a:rPr lang="pl-PL" sz="900" i="1" baseline="0"/>
            <a:t>Źródła:</a:t>
          </a:r>
        </a:p>
        <a:p>
          <a:r>
            <a:rPr lang="pl-PL" sz="900" i="1" baseline="0"/>
            <a:t>Energa operator, ul. Marynarki Polskiej 130, 80 - 557 Gdańsk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0</xdr:rowOff>
    </xdr:from>
    <xdr:to>
      <xdr:col>10</xdr:col>
      <xdr:colOff>1206499</xdr:colOff>
      <xdr:row>9</xdr:row>
      <xdr:rowOff>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26841439-EF81-4135-85A8-D92A9A001A6B}"/>
            </a:ext>
          </a:extLst>
        </xdr:cNvPr>
        <xdr:cNvSpPr txBox="1"/>
      </xdr:nvSpPr>
      <xdr:spPr>
        <a:xfrm>
          <a:off x="6515101" y="628650"/>
          <a:ext cx="3921123" cy="14287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energii  została przeprowadzona w oparciu o </a:t>
          </a:r>
          <a:r>
            <a:rPr lang="pl-PL" sz="1100" b="1"/>
            <a:t>prognozowaną </a:t>
          </a:r>
          <a:r>
            <a:rPr lang="pl-PL" sz="1100" b="0" baseline="0"/>
            <a:t>liczbę mieszkańców w roku 2029.</a:t>
          </a:r>
          <a:endParaRPr lang="pl-PL" sz="1100" baseline="0"/>
        </a:p>
        <a:p>
          <a:endParaRPr lang="pl-PL" sz="900" i="1" baseline="0"/>
        </a:p>
        <a:p>
          <a:r>
            <a:rPr lang="pl-PL" sz="900" i="1" baseline="0"/>
            <a:t>Źródła:</a:t>
          </a:r>
        </a:p>
        <a:p>
          <a:r>
            <a:rPr lang="pl-PL" sz="900" i="1" baseline="0"/>
            <a:t>Energa operator, ul. Marynarki Polskiej 130, 80 - 557 Gdańsk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3</xdr:row>
      <xdr:rowOff>1</xdr:rowOff>
    </xdr:from>
    <xdr:to>
      <xdr:col>11</xdr:col>
      <xdr:colOff>1295399</xdr:colOff>
      <xdr:row>7</xdr:row>
      <xdr:rowOff>133351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6038850" y="628651"/>
          <a:ext cx="3895724" cy="110490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gazu została przeprowadzona w oparciu o </a:t>
          </a:r>
          <a:r>
            <a:rPr lang="pl-PL" sz="1100" b="1"/>
            <a:t>prognozwaną liczbę mieszkańców do roku 2020</a:t>
          </a:r>
          <a:endParaRPr lang="pl-PL" sz="1100" baseline="0"/>
        </a:p>
        <a:p>
          <a:endParaRPr lang="pl-PL" sz="900" i="1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6038</xdr:colOff>
      <xdr:row>20</xdr:row>
      <xdr:rowOff>1500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2</xdr:row>
      <xdr:rowOff>180975</xdr:rowOff>
    </xdr:from>
    <xdr:to>
      <xdr:col>11</xdr:col>
      <xdr:colOff>968063</xdr:colOff>
      <xdr:row>19</xdr:row>
      <xdr:rowOff>182475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3</xdr:row>
      <xdr:rowOff>1</xdr:rowOff>
    </xdr:from>
    <xdr:to>
      <xdr:col>11</xdr:col>
      <xdr:colOff>1295399</xdr:colOff>
      <xdr:row>7</xdr:row>
      <xdr:rowOff>133351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2F1AD41D-5F5A-4692-B621-80FCC8E1A5BA}"/>
            </a:ext>
          </a:extLst>
        </xdr:cNvPr>
        <xdr:cNvSpPr txBox="1"/>
      </xdr:nvSpPr>
      <xdr:spPr>
        <a:xfrm>
          <a:off x="7686675" y="628651"/>
          <a:ext cx="3895724" cy="110490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gazu została przeprowadzona w oparciu o </a:t>
          </a:r>
          <a:r>
            <a:rPr lang="pl-PL" sz="1100" b="1"/>
            <a:t>prognozwaną liczbę mieszkańców do roku 2024</a:t>
          </a:r>
          <a:endParaRPr lang="pl-PL" sz="1100" baseline="0"/>
        </a:p>
        <a:p>
          <a:endParaRPr lang="pl-PL" sz="900" i="1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994833</xdr:colOff>
      <xdr:row>14</xdr:row>
      <xdr:rowOff>162984</xdr:rowOff>
    </xdr:from>
    <xdr:to>
      <xdr:col>7</xdr:col>
      <xdr:colOff>1386416</xdr:colOff>
      <xdr:row>30</xdr:row>
      <xdr:rowOff>130968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3CA2ADF4-DEAC-492B-B1FA-13BBE8390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226218</xdr:colOff>
      <xdr:row>22</xdr:row>
      <xdr:rowOff>142874</xdr:rowOff>
    </xdr:from>
    <xdr:to>
      <xdr:col>14</xdr:col>
      <xdr:colOff>607219</xdr:colOff>
      <xdr:row>37</xdr:row>
      <xdr:rowOff>71436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34C6C368-ADA3-4B10-8BC2-4B4B40310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226219</xdr:colOff>
      <xdr:row>39</xdr:row>
      <xdr:rowOff>166688</xdr:rowOff>
    </xdr:from>
    <xdr:to>
      <xdr:col>14</xdr:col>
      <xdr:colOff>607220</xdr:colOff>
      <xdr:row>55</xdr:row>
      <xdr:rowOff>71436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E3B4CD6-73C6-4028-AC68-9DC2AD649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42334</xdr:colOff>
      <xdr:row>16</xdr:row>
      <xdr:rowOff>271991</xdr:rowOff>
    </xdr:from>
    <xdr:to>
      <xdr:col>2</xdr:col>
      <xdr:colOff>1312334</xdr:colOff>
      <xdr:row>19</xdr:row>
      <xdr:rowOff>169333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232834" y="4568824"/>
          <a:ext cx="3683000" cy="104034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ciepła sieciowgo została przeprowadzona w oparciu o </a:t>
          </a:r>
          <a:r>
            <a:rPr lang="pl-PL" sz="1100" b="1"/>
            <a:t>prognozwaną liczbę mieszkańców do roku 2020</a:t>
          </a:r>
          <a:endParaRPr lang="pl-PL" sz="1100" baseline="0"/>
        </a:p>
        <a:p>
          <a:endParaRPr lang="pl-PL" sz="900" i="1" baseline="0"/>
        </a:p>
      </xdr:txBody>
    </xdr:sp>
    <xdr:clientData/>
  </xdr:twoCellAnchor>
  <xdr:twoCellAnchor>
    <xdr:from>
      <xdr:col>0</xdr:col>
      <xdr:colOff>84666</xdr:colOff>
      <xdr:row>29</xdr:row>
      <xdr:rowOff>189442</xdr:rowOff>
    </xdr:from>
    <xdr:to>
      <xdr:col>4</xdr:col>
      <xdr:colOff>1428749</xdr:colOff>
      <xdr:row>49</xdr:row>
      <xdr:rowOff>10584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80EA468F-E132-4EF3-9FC9-ED84B027D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ilek\AppData\Local\Temp\pid-14664\Inwentaryzacja_PGN%20Ciechocinek_2020_v2023_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Wskaźniki"/>
      <sheetName val="Charakterystyka_2020"/>
      <sheetName val="Charakterystyka_2024"/>
      <sheetName val="En. elektryczna_2020"/>
      <sheetName val="En. elektryczna_2024"/>
      <sheetName val="Gaz_2020"/>
      <sheetName val="Gaz wykr."/>
      <sheetName val="Gaz_2024"/>
      <sheetName val="Ciepło sieciowe_2020"/>
      <sheetName val="Ciepło sieciowe_2024"/>
      <sheetName val="Ciepło założenia"/>
      <sheetName val="Ciepło_gosp. dom._2020"/>
      <sheetName val="Ciepło_gosp. dom._2024"/>
      <sheetName val="Ankietyzacja mieszkanców_2014"/>
      <sheetName val="Budynki komunalne_2014"/>
      <sheetName val="Budynku niekomunalne_2014"/>
      <sheetName val="Oświetlenie komunalne_2020"/>
      <sheetName val="Oświetlenie komunalne_2024"/>
      <sheetName val="Transport prywatny_2020"/>
      <sheetName val="Transport prywatny_2024"/>
      <sheetName val="Transport komercyjny_2020"/>
      <sheetName val="Transport komercyjny_2024"/>
      <sheetName val="Transport kom. autobusy_2020"/>
      <sheetName val="Transport kom. autobusy_2024"/>
      <sheetName val="Tabor gminny_2020"/>
      <sheetName val="Tabor gminny_2024"/>
      <sheetName val="Podsumowanie transport_2020"/>
      <sheetName val="Podsumowanie transport_2024"/>
      <sheetName val="Końcowe zuż. energii_2020"/>
      <sheetName val="Emisja CO2_2020"/>
      <sheetName val="Końcowe zuż. energii_2024"/>
      <sheetName val="Emisja CO2_2024"/>
      <sheetName val="Działania_2020"/>
      <sheetName val="Działania_zrealizowane_do_2020"/>
      <sheetName val="Działania_zrealizowane "/>
      <sheetName val="Działania_2024"/>
      <sheetName val="Działania_do realizacji"/>
      <sheetName val="Planowane rezultaty"/>
      <sheetName val="Wskaźniki  rezultatów"/>
      <sheetName val="Działanie P&amp;R"/>
      <sheetName val="Ścieżki rowerowe"/>
    </sheetNames>
    <sheetDataSet>
      <sheetData sheetId="0"/>
      <sheetData sheetId="1">
        <row r="6">
          <cell r="C6">
            <v>0.22600000000000001</v>
          </cell>
        </row>
        <row r="7">
          <cell r="C7">
            <v>0.81200000000000006</v>
          </cell>
        </row>
        <row r="9">
          <cell r="C9">
            <v>7.6590000000000005E-2</v>
          </cell>
        </row>
        <row r="12">
          <cell r="C12">
            <v>5.5820000000000002E-2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CDE">
  <a:themeElements>
    <a:clrScheme name="CDE">
      <a:dk1>
        <a:sysClr val="windowText" lastClr="000000"/>
      </a:dk1>
      <a:lt1>
        <a:sysClr val="window" lastClr="FFFFFF"/>
      </a:lt1>
      <a:dk2>
        <a:srgbClr val="787878"/>
      </a:dk2>
      <a:lt2>
        <a:srgbClr val="F2F2F2"/>
      </a:lt2>
      <a:accent1>
        <a:srgbClr val="709AD1"/>
      </a:accent1>
      <a:accent2>
        <a:srgbClr val="81C210"/>
      </a:accent2>
      <a:accent3>
        <a:srgbClr val="9BBB59"/>
      </a:accent3>
      <a:accent4>
        <a:srgbClr val="50A000"/>
      </a:accent4>
      <a:accent5>
        <a:srgbClr val="FF7E00"/>
      </a:accent5>
      <a:accent6>
        <a:srgbClr val="9FD3EC"/>
      </a:accent6>
      <a:hlink>
        <a:srgbClr val="EB640F"/>
      </a:hlink>
      <a:folHlink>
        <a:srgbClr val="F7AE81"/>
      </a:folHlink>
    </a:clrScheme>
    <a:fontScheme name="CD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Hol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C5"/>
  <sheetViews>
    <sheetView view="pageBreakPreview" zoomScale="90" zoomScaleNormal="70" zoomScaleSheetLayoutView="90" workbookViewId="0">
      <selection activeCell="C16" sqref="C16"/>
    </sheetView>
  </sheetViews>
  <sheetFormatPr defaultRowHeight="15"/>
  <cols>
    <col min="1" max="1" width="2.5" style="6" customWidth="1"/>
    <col min="2" max="2" width="30.625" style="6" customWidth="1"/>
    <col min="3" max="3" width="72.5" style="83" customWidth="1"/>
    <col min="4" max="16384" width="9" style="6"/>
  </cols>
  <sheetData>
    <row r="1" spans="2:3" ht="15" customHeight="1" thickBot="1"/>
    <row r="2" spans="2:3" ht="21.75" thickBot="1">
      <c r="B2" s="34" t="s">
        <v>206</v>
      </c>
      <c r="C2" s="84"/>
    </row>
    <row r="3" spans="2:3" ht="15.75" thickBot="1">
      <c r="B3" s="7"/>
      <c r="C3" s="85"/>
    </row>
    <row r="4" spans="2:3">
      <c r="B4" s="1" t="s">
        <v>0</v>
      </c>
      <c r="C4" s="86" t="s">
        <v>71</v>
      </c>
    </row>
    <row r="5" spans="2:3" ht="45.75" thickBot="1">
      <c r="B5" s="2" t="s">
        <v>1</v>
      </c>
      <c r="C5" s="3" t="s">
        <v>205</v>
      </c>
    </row>
  </sheetData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O22"/>
  <sheetViews>
    <sheetView showGridLines="0" workbookViewId="0">
      <selection activeCell="H8" sqref="H8"/>
    </sheetView>
  </sheetViews>
  <sheetFormatPr defaultRowHeight="15"/>
  <cols>
    <col min="1" max="1" width="3.875" style="171" customWidth="1"/>
    <col min="2" max="2" width="7.125" style="171" customWidth="1"/>
    <col min="3" max="3" width="29.25" style="171" customWidth="1"/>
    <col min="4" max="5" width="12.625" style="171" customWidth="1"/>
    <col min="6" max="6" width="12.625" style="571" customWidth="1"/>
    <col min="7" max="9" width="12.625" style="171" customWidth="1"/>
    <col min="10" max="10" width="16.75" style="171" customWidth="1"/>
    <col min="11" max="11" width="4" style="171" customWidth="1"/>
    <col min="12" max="12" width="19" style="171" customWidth="1"/>
    <col min="13" max="14" width="15.375" style="135" customWidth="1"/>
    <col min="15" max="16384" width="9" style="171"/>
  </cols>
  <sheetData>
    <row r="1" spans="2:15" ht="30" customHeight="1">
      <c r="B1" s="676" t="s">
        <v>609</v>
      </c>
    </row>
    <row r="2" spans="2:15" ht="54">
      <c r="B2" s="207" t="s">
        <v>103</v>
      </c>
      <c r="C2" s="207" t="s">
        <v>53</v>
      </c>
      <c r="D2" s="207" t="s">
        <v>326</v>
      </c>
      <c r="E2" s="207" t="s">
        <v>54</v>
      </c>
      <c r="F2" s="207" t="s">
        <v>55</v>
      </c>
      <c r="G2" s="207" t="s">
        <v>48</v>
      </c>
      <c r="H2" s="207" t="s">
        <v>210</v>
      </c>
      <c r="I2" s="207" t="s">
        <v>327</v>
      </c>
      <c r="J2" s="207" t="s">
        <v>328</v>
      </c>
      <c r="K2" s="116"/>
      <c r="L2" s="567"/>
      <c r="M2" s="207" t="s">
        <v>67</v>
      </c>
      <c r="N2" s="207" t="s">
        <v>271</v>
      </c>
    </row>
    <row r="3" spans="2:15" ht="39.75" customHeight="1">
      <c r="B3" s="568">
        <v>1</v>
      </c>
      <c r="C3" s="136" t="s">
        <v>201</v>
      </c>
      <c r="D3" s="247">
        <v>507.81</v>
      </c>
      <c r="E3" s="247">
        <v>9.07</v>
      </c>
      <c r="F3" s="136" t="s">
        <v>2</v>
      </c>
      <c r="G3" s="247">
        <v>0</v>
      </c>
      <c r="H3" s="247">
        <f>G3*'Budynki niekomunalne_2024'!$C$32</f>
        <v>0</v>
      </c>
      <c r="I3" s="247">
        <f>'Budynki komunalne_2014'!E3*Wskaźniki!$C$7</f>
        <v>7.3648400000000009</v>
      </c>
      <c r="J3" s="247">
        <f>G3*Wskaźniki!$C$12</f>
        <v>0</v>
      </c>
      <c r="L3" s="140" t="s">
        <v>263</v>
      </c>
      <c r="M3" s="142" t="s">
        <v>269</v>
      </c>
      <c r="N3" s="145">
        <f>E14</f>
        <v>292.51</v>
      </c>
    </row>
    <row r="4" spans="2:15" ht="39.75" customHeight="1">
      <c r="B4" s="568">
        <v>2</v>
      </c>
      <c r="C4" s="136" t="s">
        <v>262</v>
      </c>
      <c r="D4" s="247">
        <v>631.46</v>
      </c>
      <c r="E4" s="247">
        <v>44.52</v>
      </c>
      <c r="F4" s="136" t="s">
        <v>2</v>
      </c>
      <c r="G4" s="247">
        <v>16253</v>
      </c>
      <c r="H4" s="247">
        <f>G4*'Budynki niekomunalne_2024'!$C$32</f>
        <v>4502.0810000000001</v>
      </c>
      <c r="I4" s="247">
        <f>'Budynki komunalne_2014'!E4*Wskaźniki!$C$7</f>
        <v>36.150240000000004</v>
      </c>
      <c r="J4" s="247">
        <f>G4*Wskaźniki!$C$12</f>
        <v>907.24246000000005</v>
      </c>
      <c r="L4" s="141" t="s">
        <v>264</v>
      </c>
      <c r="M4" s="142" t="s">
        <v>269</v>
      </c>
      <c r="N4" s="145">
        <f>H14</f>
        <v>10202.623352000001</v>
      </c>
    </row>
    <row r="5" spans="2:15" ht="32.25" customHeight="1">
      <c r="B5" s="568">
        <v>3</v>
      </c>
      <c r="C5" s="136" t="s">
        <v>252</v>
      </c>
      <c r="D5" s="247">
        <v>520</v>
      </c>
      <c r="E5" s="247">
        <v>13.3</v>
      </c>
      <c r="F5" s="136" t="s">
        <v>2</v>
      </c>
      <c r="G5" s="247">
        <v>467.46</v>
      </c>
      <c r="H5" s="247">
        <f>G5*'Budynki niekomunalne_2024'!$C$32</f>
        <v>129.48642000000001</v>
      </c>
      <c r="I5" s="247">
        <f>'Budynki komunalne_2014'!E5*Wskaźniki!$C$7</f>
        <v>10.799600000000002</v>
      </c>
      <c r="J5" s="247">
        <f>G5*Wskaźniki!$C$12</f>
        <v>26.093617200000001</v>
      </c>
      <c r="L5" s="146" t="s">
        <v>267</v>
      </c>
      <c r="M5" s="143" t="s">
        <v>269</v>
      </c>
      <c r="N5" s="147">
        <f>N3+N4</f>
        <v>10495.133352000001</v>
      </c>
    </row>
    <row r="6" spans="2:15" ht="49.5" customHeight="1">
      <c r="B6" s="569">
        <v>4</v>
      </c>
      <c r="C6" s="136" t="s">
        <v>258</v>
      </c>
      <c r="D6" s="137">
        <v>1196.4000000000001</v>
      </c>
      <c r="E6" s="137">
        <v>26.38</v>
      </c>
      <c r="F6" s="136" t="s">
        <v>2</v>
      </c>
      <c r="G6" s="247">
        <v>482.25</v>
      </c>
      <c r="H6" s="247">
        <f>G6*'Budynki niekomunalne_2024'!$C$32</f>
        <v>133.58325000000002</v>
      </c>
      <c r="I6" s="247">
        <f>'Budynki komunalne_2014'!E6*Wskaźniki!$C$7</f>
        <v>21.420560000000002</v>
      </c>
      <c r="J6" s="247">
        <f>G6*Wskaźniki!$C$12</f>
        <v>26.919195000000002</v>
      </c>
      <c r="L6" s="141" t="s">
        <v>265</v>
      </c>
      <c r="M6" s="142" t="s">
        <v>270</v>
      </c>
      <c r="N6" s="145">
        <f>I14</f>
        <v>243.65511999999998</v>
      </c>
    </row>
    <row r="7" spans="2:15" ht="39.75" customHeight="1">
      <c r="B7" s="568">
        <v>5</v>
      </c>
      <c r="C7" s="136" t="s">
        <v>127</v>
      </c>
      <c r="D7" s="247">
        <v>800</v>
      </c>
      <c r="E7" s="247">
        <v>52</v>
      </c>
      <c r="F7" s="136" t="s">
        <v>2</v>
      </c>
      <c r="G7" s="247">
        <v>56.7</v>
      </c>
      <c r="H7" s="247">
        <f>G7*'Budynki niekomunalne_2024'!$C$32</f>
        <v>15.705900000000002</v>
      </c>
      <c r="I7" s="247">
        <f>'Budynki komunalne_2014'!E7*Wskaźniki!$C$7</f>
        <v>42.224000000000004</v>
      </c>
      <c r="J7" s="247">
        <f>G7*Wskaźniki!$C$12</f>
        <v>3.1649940000000001</v>
      </c>
      <c r="L7" s="141" t="s">
        <v>266</v>
      </c>
      <c r="M7" s="142" t="s">
        <v>270</v>
      </c>
      <c r="N7" s="145">
        <f>J14</f>
        <v>2088.522631343104</v>
      </c>
    </row>
    <row r="8" spans="2:15" ht="39.75" customHeight="1">
      <c r="B8" s="568"/>
      <c r="C8" s="136"/>
      <c r="D8" s="247"/>
      <c r="E8" s="247"/>
      <c r="F8" s="136" t="s">
        <v>91</v>
      </c>
      <c r="G8" s="247">
        <v>652.79999999999995</v>
      </c>
      <c r="H8" s="247">
        <f>G8*'Budynki niekomunalne_2024'!$C$32</f>
        <v>180.82560000000001</v>
      </c>
      <c r="I8" s="247">
        <f>'Budynki komunalne_2014'!E8*Wskaźniki!$C$7</f>
        <v>0</v>
      </c>
      <c r="J8" s="247">
        <f>G8*Wskaźniki!C8</f>
        <v>61.839743999999989</v>
      </c>
      <c r="L8" s="146" t="s">
        <v>268</v>
      </c>
      <c r="M8" s="143" t="s">
        <v>270</v>
      </c>
      <c r="N8" s="147">
        <f>N6+N7</f>
        <v>2332.1777513431039</v>
      </c>
    </row>
    <row r="9" spans="2:15" ht="39.75" customHeight="1">
      <c r="B9" s="568">
        <v>6</v>
      </c>
      <c r="C9" s="136" t="s">
        <v>203</v>
      </c>
      <c r="D9" s="247">
        <v>280.82</v>
      </c>
      <c r="E9" s="247">
        <v>9.7899999999999991</v>
      </c>
      <c r="F9" s="136" t="s">
        <v>62</v>
      </c>
      <c r="G9" s="247">
        <v>9.7899999999999991</v>
      </c>
      <c r="H9" s="247">
        <f>G9*'Budynki niekomunalne_2024'!$C$32</f>
        <v>2.71183</v>
      </c>
      <c r="I9" s="247">
        <f>'Budynki komunalne_2014'!E9*Wskaźniki!$C$7</f>
        <v>7.9494799999999994</v>
      </c>
      <c r="J9" s="247">
        <f>G9*Wskaźniki!C7</f>
        <v>7.9494799999999994</v>
      </c>
    </row>
    <row r="10" spans="2:15" ht="39.75" customHeight="1">
      <c r="B10" s="568">
        <v>7</v>
      </c>
      <c r="C10" s="136" t="s">
        <v>204</v>
      </c>
      <c r="D10" s="247">
        <v>312.5</v>
      </c>
      <c r="E10" s="247">
        <v>8.4499999999999993</v>
      </c>
      <c r="F10" s="136" t="s">
        <v>2</v>
      </c>
      <c r="G10" s="247">
        <v>2913</v>
      </c>
      <c r="H10" s="247">
        <f>G10*'Budynki niekomunalne_2024'!$C$32</f>
        <v>806.90100000000007</v>
      </c>
      <c r="I10" s="247">
        <f>'Budynki komunalne_2014'!E10*Wskaźniki!$C$7</f>
        <v>6.8613999999999997</v>
      </c>
      <c r="J10" s="139">
        <f>G10*Wskaźniki!$C$12</f>
        <v>162.60365999999999</v>
      </c>
    </row>
    <row r="11" spans="2:15" ht="39" customHeight="1">
      <c r="B11" s="568">
        <v>8</v>
      </c>
      <c r="C11" s="136" t="s">
        <v>202</v>
      </c>
      <c r="D11" s="247">
        <v>665</v>
      </c>
      <c r="E11" s="137">
        <v>34.58</v>
      </c>
      <c r="F11" s="136" t="s">
        <v>2</v>
      </c>
      <c r="G11" s="137">
        <v>12072</v>
      </c>
      <c r="H11" s="247">
        <f>G11*'Budynki niekomunalne_2024'!$C$32</f>
        <v>3343.9440000000004</v>
      </c>
      <c r="I11" s="247">
        <f>'Budynki komunalne_2014'!E11*Wskaźniki!$C$7</f>
        <v>28.078960000000002</v>
      </c>
      <c r="J11" s="139">
        <f>G11*Wskaźniki!$C$12</f>
        <v>673.85904000000005</v>
      </c>
    </row>
    <row r="12" spans="2:15" ht="39" customHeight="1">
      <c r="B12" s="568">
        <v>9</v>
      </c>
      <c r="C12" s="659" t="s">
        <v>599</v>
      </c>
      <c r="D12" s="678">
        <v>5000</v>
      </c>
      <c r="E12" s="661">
        <f>4860*12/1000</f>
        <v>58.32</v>
      </c>
      <c r="F12" s="659" t="s">
        <v>2</v>
      </c>
      <c r="G12" s="661">
        <v>2165</v>
      </c>
      <c r="H12" s="660">
        <f>G12*'Budynki niekomunalne_2024'!$C$32</f>
        <v>599.70500000000004</v>
      </c>
      <c r="I12" s="247">
        <f>'Budynki komunalne_2014'!E12*Wskaźniki!$C$7</f>
        <v>47.355840000000001</v>
      </c>
      <c r="J12" s="139">
        <f>G12*Wskaźniki!$C$12</f>
        <v>120.8503</v>
      </c>
    </row>
    <row r="13" spans="2:15" ht="39" customHeight="1">
      <c r="B13" s="568">
        <v>10</v>
      </c>
      <c r="C13" s="659" t="s">
        <v>600</v>
      </c>
      <c r="D13" s="678">
        <v>3100</v>
      </c>
      <c r="E13" s="661">
        <v>36.1</v>
      </c>
      <c r="F13" s="659" t="s">
        <v>2</v>
      </c>
      <c r="G13" s="661">
        <f>H13*'Budynki niekomunalne_2024'!C31</f>
        <v>1755.6456671999997</v>
      </c>
      <c r="H13" s="660">
        <f>43028*11.334/1000</f>
        <v>487.67935199999994</v>
      </c>
      <c r="I13" s="247">
        <f>E13*0.982</f>
        <v>35.450200000000002</v>
      </c>
      <c r="J13" s="139">
        <f>G13*Wskaźniki!$C$12</f>
        <v>98.000141143103988</v>
      </c>
    </row>
    <row r="14" spans="2:15" ht="15.75" customHeight="1">
      <c r="B14" s="143" t="s">
        <v>3</v>
      </c>
      <c r="C14" s="143"/>
      <c r="D14" s="147">
        <f>SUM(D3:D13)</f>
        <v>13013.99</v>
      </c>
      <c r="E14" s="147">
        <f>SUM(E3:E13)</f>
        <v>292.51</v>
      </c>
      <c r="F14" s="570"/>
      <c r="G14" s="147">
        <f>SUM(G3:G13)</f>
        <v>36827.645667199999</v>
      </c>
      <c r="H14" s="147">
        <f>SUM(H3:H13)</f>
        <v>10202.623352000001</v>
      </c>
      <c r="I14" s="147">
        <f>SUM(I3:I13)</f>
        <v>243.65511999999998</v>
      </c>
      <c r="J14" s="147">
        <f>SUM(J3:J13)</f>
        <v>2088.522631343104</v>
      </c>
    </row>
    <row r="15" spans="2:15" ht="15.75" customHeight="1">
      <c r="N15" s="597"/>
      <c r="O15" s="662"/>
    </row>
    <row r="16" spans="2:15">
      <c r="B16" s="669"/>
      <c r="G16" s="662"/>
    </row>
    <row r="17" spans="2:11">
      <c r="B17" s="670"/>
      <c r="C17" s="671"/>
      <c r="D17" s="672"/>
      <c r="E17" s="673"/>
      <c r="F17" s="671"/>
      <c r="G17" s="673"/>
      <c r="H17" s="672"/>
      <c r="I17" s="672"/>
      <c r="J17" s="674"/>
    </row>
    <row r="18" spans="2:11" s="144" customFormat="1">
      <c r="B18" s="670"/>
      <c r="C18" s="671"/>
      <c r="D18" s="672"/>
      <c r="E18" s="673"/>
      <c r="F18" s="671"/>
      <c r="G18" s="673"/>
      <c r="H18" s="672"/>
      <c r="I18" s="672"/>
      <c r="J18" s="674"/>
      <c r="K18" s="572"/>
    </row>
    <row r="21" spans="2:11" ht="28.5" customHeight="1">
      <c r="D21" s="663"/>
    </row>
    <row r="22" spans="2:11">
      <c r="D22" s="66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P27"/>
  <sheetViews>
    <sheetView workbookViewId="0">
      <selection activeCell="K4" sqref="K4"/>
    </sheetView>
  </sheetViews>
  <sheetFormatPr defaultRowHeight="14.25"/>
  <cols>
    <col min="1" max="1" width="4.625" style="171" customWidth="1"/>
    <col min="2" max="2" width="9" style="171"/>
    <col min="3" max="3" width="30.375" style="171" customWidth="1"/>
    <col min="4" max="12" width="16.125" style="171" customWidth="1"/>
    <col min="13" max="13" width="9" style="171"/>
    <col min="14" max="14" width="16.625" style="171" customWidth="1"/>
    <col min="15" max="15" width="12.625" style="171" customWidth="1"/>
    <col min="16" max="16" width="11.5" style="171" customWidth="1"/>
    <col min="17" max="16384" width="9" style="171"/>
  </cols>
  <sheetData>
    <row r="1" spans="2:16" ht="30" customHeight="1">
      <c r="B1" s="676" t="s">
        <v>609</v>
      </c>
    </row>
    <row r="2" spans="2:16" ht="66">
      <c r="B2" s="759" t="s">
        <v>103</v>
      </c>
      <c r="C2" s="760" t="s">
        <v>53</v>
      </c>
      <c r="D2" s="760" t="s">
        <v>345</v>
      </c>
      <c r="E2" s="760" t="s">
        <v>54</v>
      </c>
      <c r="F2" s="760" t="s">
        <v>55</v>
      </c>
      <c r="G2" s="760" t="s">
        <v>48</v>
      </c>
      <c r="H2" s="760" t="s">
        <v>210</v>
      </c>
      <c r="I2" s="760" t="s">
        <v>318</v>
      </c>
      <c r="J2" s="760" t="s">
        <v>346</v>
      </c>
      <c r="K2" s="760" t="s">
        <v>319</v>
      </c>
      <c r="L2" s="760" t="s">
        <v>347</v>
      </c>
      <c r="N2" s="761"/>
      <c r="O2" s="762" t="s">
        <v>67</v>
      </c>
      <c r="P2" s="762" t="s">
        <v>271</v>
      </c>
    </row>
    <row r="3" spans="2:16" ht="30">
      <c r="B3" s="1110" t="s">
        <v>272</v>
      </c>
      <c r="C3" s="1110"/>
      <c r="D3" s="1110"/>
      <c r="E3" s="1110"/>
      <c r="F3" s="1110"/>
      <c r="G3" s="1110"/>
      <c r="H3" s="1110"/>
      <c r="I3" s="1110"/>
      <c r="J3" s="1110"/>
      <c r="K3" s="1110"/>
      <c r="L3" s="1110"/>
      <c r="N3" s="140" t="s">
        <v>263</v>
      </c>
      <c r="O3" s="763" t="s">
        <v>269</v>
      </c>
      <c r="P3" s="764">
        <f>E23</f>
        <v>4362.6099999999997</v>
      </c>
    </row>
    <row r="4" spans="2:16" ht="58.5" customHeight="1">
      <c r="B4" s="1111">
        <v>1</v>
      </c>
      <c r="C4" s="1113" t="s">
        <v>120</v>
      </c>
      <c r="D4" s="1115">
        <v>24063</v>
      </c>
      <c r="E4" s="1115">
        <v>185</v>
      </c>
      <c r="F4" s="693" t="s">
        <v>2</v>
      </c>
      <c r="G4" s="693">
        <v>29889.9074</v>
      </c>
      <c r="H4" s="693">
        <f>G4*$C$27</f>
        <v>8279.5043498000014</v>
      </c>
      <c r="I4" s="742">
        <f>[1]Wskaźniki!$C$7</f>
        <v>0.81200000000000006</v>
      </c>
      <c r="J4" s="1115">
        <f>E4*I4</f>
        <v>150.22</v>
      </c>
      <c r="K4" s="743">
        <f>[1]Wskaźniki!$C$12</f>
        <v>5.5820000000000002E-2</v>
      </c>
      <c r="L4" s="693">
        <f>G4*K4</f>
        <v>1668.454631068</v>
      </c>
      <c r="N4" s="285" t="s">
        <v>264</v>
      </c>
      <c r="O4" s="763" t="s">
        <v>269</v>
      </c>
      <c r="P4" s="764">
        <f>H23</f>
        <v>28870.974090388205</v>
      </c>
    </row>
    <row r="5" spans="2:16" ht="58.5" customHeight="1">
      <c r="B5" s="1112"/>
      <c r="C5" s="1114"/>
      <c r="D5" s="1116"/>
      <c r="E5" s="1116"/>
      <c r="F5" s="693" t="s">
        <v>62</v>
      </c>
      <c r="G5" s="693">
        <v>6.8903999999999996</v>
      </c>
      <c r="H5" s="693">
        <f t="shared" ref="H5:H22" si="0">G5*$C$27</f>
        <v>1.9086408000000001</v>
      </c>
      <c r="I5" s="742">
        <f>[1]Wskaźniki!$C$7</f>
        <v>0.81200000000000006</v>
      </c>
      <c r="J5" s="1116"/>
      <c r="K5" s="742">
        <f>[1]Wskaźniki!$C$6</f>
        <v>0.22600000000000001</v>
      </c>
      <c r="L5" s="693">
        <f t="shared" ref="L5:L22" si="1">G5*K5</f>
        <v>1.5572303999999999</v>
      </c>
      <c r="N5" s="765" t="s">
        <v>267</v>
      </c>
      <c r="O5" s="766" t="s">
        <v>269</v>
      </c>
      <c r="P5" s="767">
        <f>P3+P4</f>
        <v>33233.584090388205</v>
      </c>
    </row>
    <row r="6" spans="2:16" ht="45">
      <c r="B6" s="691">
        <v>2</v>
      </c>
      <c r="C6" s="692" t="s">
        <v>119</v>
      </c>
      <c r="D6" s="693">
        <v>8602</v>
      </c>
      <c r="E6" s="693">
        <v>338.43</v>
      </c>
      <c r="F6" s="693" t="s">
        <v>2</v>
      </c>
      <c r="G6" s="693">
        <v>6.3274227999999999</v>
      </c>
      <c r="H6" s="693">
        <f t="shared" si="0"/>
        <v>1.7526961156</v>
      </c>
      <c r="I6" s="742">
        <f>[1]Wskaźniki!$C$7</f>
        <v>0.81200000000000006</v>
      </c>
      <c r="J6" s="693">
        <f>E6*I6</f>
        <v>274.80516</v>
      </c>
      <c r="K6" s="743">
        <f>[1]Wskaźniki!$C$12</f>
        <v>5.5820000000000002E-2</v>
      </c>
      <c r="L6" s="693">
        <f t="shared" si="1"/>
        <v>0.35319674069599999</v>
      </c>
      <c r="N6" s="285" t="s">
        <v>265</v>
      </c>
      <c r="O6" s="763" t="s">
        <v>270</v>
      </c>
      <c r="P6" s="764">
        <f>J23</f>
        <v>3542.4393200000004</v>
      </c>
    </row>
    <row r="7" spans="2:16" ht="45">
      <c r="B7" s="691">
        <v>3</v>
      </c>
      <c r="C7" s="692" t="s">
        <v>257</v>
      </c>
      <c r="D7" s="693">
        <v>8084</v>
      </c>
      <c r="E7" s="693">
        <v>370.56</v>
      </c>
      <c r="F7" s="693" t="s">
        <v>2</v>
      </c>
      <c r="G7" s="693">
        <v>8330.8058000000001</v>
      </c>
      <c r="H7" s="693">
        <f>G7*$C$27</f>
        <v>2307.6332066000004</v>
      </c>
      <c r="I7" s="742">
        <f>[1]Wskaźniki!$C$7</f>
        <v>0.81200000000000006</v>
      </c>
      <c r="J7" s="693">
        <f t="shared" ref="J7:J22" si="2">E7*I7</f>
        <v>300.89472000000001</v>
      </c>
      <c r="K7" s="743">
        <f>[1]Wskaźniki!$C$12</f>
        <v>5.5820000000000002E-2</v>
      </c>
      <c r="L7" s="693">
        <f t="shared" si="1"/>
        <v>465.02557975600001</v>
      </c>
      <c r="N7" s="285" t="s">
        <v>266</v>
      </c>
      <c r="O7" s="763" t="s">
        <v>270</v>
      </c>
      <c r="P7" s="764">
        <f>L23</f>
        <v>5821.8122709300123</v>
      </c>
    </row>
    <row r="8" spans="2:16" ht="30">
      <c r="B8" s="691">
        <v>4</v>
      </c>
      <c r="C8" s="692" t="s">
        <v>222</v>
      </c>
      <c r="D8" s="693">
        <v>3300</v>
      </c>
      <c r="E8" s="693" t="s">
        <v>274</v>
      </c>
      <c r="F8" s="693" t="s">
        <v>2</v>
      </c>
      <c r="G8" s="693" t="s">
        <v>274</v>
      </c>
      <c r="H8" s="693" t="s">
        <v>274</v>
      </c>
      <c r="I8" s="742">
        <f>[1]Wskaźniki!$C$7</f>
        <v>0.81200000000000006</v>
      </c>
      <c r="J8" s="693" t="s">
        <v>274</v>
      </c>
      <c r="K8" s="743">
        <f>[1]Wskaźniki!$C$12</f>
        <v>5.5820000000000002E-2</v>
      </c>
      <c r="L8" s="693">
        <v>0</v>
      </c>
      <c r="N8" s="765" t="s">
        <v>268</v>
      </c>
      <c r="O8" s="766" t="s">
        <v>270</v>
      </c>
      <c r="P8" s="767">
        <f>P6+P7</f>
        <v>9364.2515909300128</v>
      </c>
    </row>
    <row r="9" spans="2:16" ht="57">
      <c r="B9" s="691">
        <v>5</v>
      </c>
      <c r="C9" s="692" t="s">
        <v>223</v>
      </c>
      <c r="D9" s="693">
        <v>16826</v>
      </c>
      <c r="E9" s="693">
        <v>2</v>
      </c>
      <c r="F9" s="693" t="s">
        <v>2</v>
      </c>
      <c r="G9" s="693">
        <v>14920</v>
      </c>
      <c r="H9" s="693">
        <f t="shared" si="0"/>
        <v>4132.84</v>
      </c>
      <c r="I9" s="742">
        <f>[1]Wskaźniki!$C$7</f>
        <v>0.81200000000000006</v>
      </c>
      <c r="J9" s="693">
        <f t="shared" si="2"/>
        <v>1.6240000000000001</v>
      </c>
      <c r="K9" s="743">
        <f>[1]Wskaźniki!$C$12</f>
        <v>5.5820000000000002E-2</v>
      </c>
      <c r="L9" s="693">
        <f t="shared" si="1"/>
        <v>832.83440000000007</v>
      </c>
    </row>
    <row r="10" spans="2:16" ht="49.5" customHeight="1">
      <c r="B10" s="691">
        <v>6</v>
      </c>
      <c r="C10" s="692" t="s">
        <v>220</v>
      </c>
      <c r="D10" s="693">
        <v>2120.23</v>
      </c>
      <c r="E10" s="693" t="s">
        <v>274</v>
      </c>
      <c r="F10" s="693" t="s">
        <v>274</v>
      </c>
      <c r="G10" s="693" t="s">
        <v>274</v>
      </c>
      <c r="H10" s="693" t="s">
        <v>274</v>
      </c>
      <c r="I10" s="742">
        <f>[1]Wskaźniki!$C$7</f>
        <v>0.81200000000000006</v>
      </c>
      <c r="J10" s="693" t="s">
        <v>274</v>
      </c>
      <c r="K10" s="743">
        <f>[1]Wskaźniki!$C$12</f>
        <v>5.5820000000000002E-2</v>
      </c>
      <c r="L10" s="693">
        <v>0</v>
      </c>
    </row>
    <row r="11" spans="2:16" ht="71.25">
      <c r="B11" s="691">
        <v>7</v>
      </c>
      <c r="C11" s="692" t="s">
        <v>218</v>
      </c>
      <c r="D11" s="693">
        <v>3211.38</v>
      </c>
      <c r="E11" s="693">
        <v>86</v>
      </c>
      <c r="F11" s="693" t="s">
        <v>2</v>
      </c>
      <c r="G11" s="693">
        <v>5193.5028000000002</v>
      </c>
      <c r="H11" s="693">
        <f t="shared" si="0"/>
        <v>1438.6002756000003</v>
      </c>
      <c r="I11" s="742">
        <f>[1]Wskaźniki!$C$7</f>
        <v>0.81200000000000006</v>
      </c>
      <c r="J11" s="693">
        <f t="shared" si="2"/>
        <v>69.832000000000008</v>
      </c>
      <c r="K11" s="743">
        <f>[1]Wskaźniki!$C$12</f>
        <v>5.5820000000000002E-2</v>
      </c>
      <c r="L11" s="693">
        <f t="shared" si="1"/>
        <v>289.90132629600004</v>
      </c>
    </row>
    <row r="12" spans="2:16" ht="28.5">
      <c r="B12" s="691">
        <v>8</v>
      </c>
      <c r="C12" s="692" t="s">
        <v>216</v>
      </c>
      <c r="D12" s="693">
        <v>150</v>
      </c>
      <c r="E12" s="693">
        <v>41</v>
      </c>
      <c r="F12" s="693" t="s">
        <v>44</v>
      </c>
      <c r="G12" s="693">
        <v>128.52000000000001</v>
      </c>
      <c r="H12" s="693">
        <f t="shared" si="0"/>
        <v>35.600040000000007</v>
      </c>
      <c r="I12" s="742">
        <f>[1]Wskaźniki!$C$7</f>
        <v>0.81200000000000006</v>
      </c>
      <c r="J12" s="693">
        <f t="shared" si="2"/>
        <v>33.292000000000002</v>
      </c>
      <c r="K12" s="743">
        <f>[1]Wskaźniki!$C$9</f>
        <v>7.6590000000000005E-2</v>
      </c>
      <c r="L12" s="693">
        <f t="shared" si="1"/>
        <v>9.8433468000000008</v>
      </c>
    </row>
    <row r="13" spans="2:16" ht="28.5">
      <c r="B13" s="691">
        <v>9</v>
      </c>
      <c r="C13" s="692" t="s">
        <v>126</v>
      </c>
      <c r="D13" s="693">
        <v>3513</v>
      </c>
      <c r="E13" s="693">
        <v>231.54</v>
      </c>
      <c r="F13" s="693" t="s">
        <v>2</v>
      </c>
      <c r="G13" s="693">
        <v>3628.5439999999999</v>
      </c>
      <c r="H13" s="693">
        <f t="shared" si="0"/>
        <v>1005.1066880000001</v>
      </c>
      <c r="I13" s="742">
        <f>[1]Wskaźniki!$C$7</f>
        <v>0.81200000000000006</v>
      </c>
      <c r="J13" s="693">
        <f t="shared" si="2"/>
        <v>188.01048</v>
      </c>
      <c r="K13" s="743">
        <f>[1]Wskaźniki!$C$12</f>
        <v>5.5820000000000002E-2</v>
      </c>
      <c r="L13" s="693">
        <f t="shared" si="1"/>
        <v>202.54532608</v>
      </c>
    </row>
    <row r="14" spans="2:16" ht="28.5">
      <c r="B14" s="691">
        <v>10</v>
      </c>
      <c r="C14" s="692" t="s">
        <v>121</v>
      </c>
      <c r="D14" s="693">
        <v>4387</v>
      </c>
      <c r="E14" s="693">
        <v>170.08</v>
      </c>
      <c r="F14" s="693" t="s">
        <v>2</v>
      </c>
      <c r="G14" s="693">
        <v>3.7600637999999997</v>
      </c>
      <c r="H14" s="693">
        <f t="shared" si="0"/>
        <v>1.0415376726000001</v>
      </c>
      <c r="I14" s="742">
        <f>[1]Wskaźniki!$C$7</f>
        <v>0.81200000000000006</v>
      </c>
      <c r="J14" s="693">
        <f t="shared" si="2"/>
        <v>138.10496000000001</v>
      </c>
      <c r="K14" s="743">
        <f>[1]Wskaźniki!$C$12</f>
        <v>5.5820000000000002E-2</v>
      </c>
      <c r="L14" s="693">
        <f t="shared" si="1"/>
        <v>0.20988676131599998</v>
      </c>
    </row>
    <row r="15" spans="2:16" ht="42.75">
      <c r="B15" s="691">
        <v>11</v>
      </c>
      <c r="C15" s="768" t="s">
        <v>200</v>
      </c>
      <c r="D15" s="693">
        <v>3850</v>
      </c>
      <c r="E15" s="693">
        <v>200</v>
      </c>
      <c r="F15" s="693" t="s">
        <v>2</v>
      </c>
      <c r="G15" s="693">
        <v>3058.6</v>
      </c>
      <c r="H15" s="693">
        <f t="shared" si="0"/>
        <v>847.23220000000003</v>
      </c>
      <c r="I15" s="742">
        <f>[1]Wskaźniki!$C$7</f>
        <v>0.81200000000000006</v>
      </c>
      <c r="J15" s="693">
        <f t="shared" si="2"/>
        <v>162.4</v>
      </c>
      <c r="K15" s="743">
        <f>[1]Wskaźniki!$C$12</f>
        <v>5.5820000000000002E-2</v>
      </c>
      <c r="L15" s="693">
        <f t="shared" si="1"/>
        <v>170.73105200000001</v>
      </c>
    </row>
    <row r="16" spans="2:16" ht="42.75">
      <c r="B16" s="691">
        <v>12</v>
      </c>
      <c r="C16" s="692" t="s">
        <v>221</v>
      </c>
      <c r="D16" s="693">
        <v>3826</v>
      </c>
      <c r="E16" s="693">
        <v>237</v>
      </c>
      <c r="F16" s="693" t="s">
        <v>2</v>
      </c>
      <c r="G16" s="693">
        <v>3724.7406999999998</v>
      </c>
      <c r="H16" s="693">
        <f t="shared" si="0"/>
        <v>1031.7531739000001</v>
      </c>
      <c r="I16" s="742">
        <f>[1]Wskaźniki!$C$7</f>
        <v>0.81200000000000006</v>
      </c>
      <c r="J16" s="693">
        <f t="shared" si="2"/>
        <v>192.44400000000002</v>
      </c>
      <c r="K16" s="743">
        <f>[1]Wskaźniki!$C$12</f>
        <v>5.5820000000000002E-2</v>
      </c>
      <c r="L16" s="693">
        <f t="shared" si="1"/>
        <v>207.91502587400001</v>
      </c>
    </row>
    <row r="17" spans="2:12" ht="28.5">
      <c r="B17" s="691">
        <v>13</v>
      </c>
      <c r="C17" s="692" t="s">
        <v>224</v>
      </c>
      <c r="D17" s="693">
        <v>12300</v>
      </c>
      <c r="E17" s="693">
        <v>615</v>
      </c>
      <c r="F17" s="693" t="s">
        <v>2</v>
      </c>
      <c r="G17" s="693">
        <v>10084.800999999999</v>
      </c>
      <c r="H17" s="693">
        <f t="shared" si="0"/>
        <v>2793.489877</v>
      </c>
      <c r="I17" s="742">
        <f>[1]Wskaźniki!$C$7</f>
        <v>0.81200000000000006</v>
      </c>
      <c r="J17" s="693">
        <f t="shared" si="2"/>
        <v>499.38000000000005</v>
      </c>
      <c r="K17" s="743">
        <f>[1]Wskaźniki!$C$12</f>
        <v>5.5820000000000002E-2</v>
      </c>
      <c r="L17" s="693">
        <f t="shared" si="1"/>
        <v>562.93359181999995</v>
      </c>
    </row>
    <row r="18" spans="2:12" ht="28.5">
      <c r="B18" s="691">
        <v>14</v>
      </c>
      <c r="C18" s="692" t="s">
        <v>219</v>
      </c>
      <c r="D18" s="693">
        <v>6330.73</v>
      </c>
      <c r="E18" s="693">
        <v>570</v>
      </c>
      <c r="F18" s="693" t="s">
        <v>2</v>
      </c>
      <c r="G18" s="693">
        <v>7405.7285000000002</v>
      </c>
      <c r="H18" s="693">
        <f t="shared" si="0"/>
        <v>2051.3867945000002</v>
      </c>
      <c r="I18" s="742">
        <f>[1]Wskaźniki!$C$7</f>
        <v>0.81200000000000006</v>
      </c>
      <c r="J18" s="693">
        <f t="shared" si="2"/>
        <v>462.84000000000003</v>
      </c>
      <c r="K18" s="743">
        <f>[1]Wskaźniki!$C$12</f>
        <v>5.5820000000000002E-2</v>
      </c>
      <c r="L18" s="693">
        <f t="shared" si="1"/>
        <v>413.38776487000001</v>
      </c>
    </row>
    <row r="19" spans="2:12" ht="57">
      <c r="B19" s="691">
        <v>15</v>
      </c>
      <c r="C19" s="692" t="s">
        <v>217</v>
      </c>
      <c r="D19" s="693">
        <v>5029</v>
      </c>
      <c r="E19" s="693">
        <v>189</v>
      </c>
      <c r="F19" s="693" t="s">
        <v>2</v>
      </c>
      <c r="G19" s="693">
        <v>3121.7489</v>
      </c>
      <c r="H19" s="693">
        <f t="shared" si="0"/>
        <v>864.72444530000007</v>
      </c>
      <c r="I19" s="742">
        <f>[1]Wskaźniki!$C$7</f>
        <v>0.81200000000000006</v>
      </c>
      <c r="J19" s="693">
        <f t="shared" si="2"/>
        <v>153.46800000000002</v>
      </c>
      <c r="K19" s="743">
        <f>[1]Wskaźniki!$C$12</f>
        <v>5.5820000000000002E-2</v>
      </c>
      <c r="L19" s="693">
        <f t="shared" si="1"/>
        <v>174.25602359800001</v>
      </c>
    </row>
    <row r="20" spans="2:12" ht="28.5">
      <c r="B20" s="691">
        <v>16</v>
      </c>
      <c r="C20" s="692" t="s">
        <v>273</v>
      </c>
      <c r="D20" s="693">
        <v>13077</v>
      </c>
      <c r="E20" s="693">
        <v>771</v>
      </c>
      <c r="F20" s="693" t="s">
        <v>2</v>
      </c>
      <c r="G20" s="693">
        <v>10662.615299999999</v>
      </c>
      <c r="H20" s="693">
        <f t="shared" si="0"/>
        <v>2953.5444381000002</v>
      </c>
      <c r="I20" s="742">
        <f>[1]Wskaźniki!$C$7</f>
        <v>0.81200000000000006</v>
      </c>
      <c r="J20" s="693">
        <f t="shared" si="2"/>
        <v>626.05200000000002</v>
      </c>
      <c r="K20" s="743">
        <f>[1]Wskaźniki!$C$12</f>
        <v>5.5820000000000002E-2</v>
      </c>
      <c r="L20" s="693">
        <f t="shared" si="1"/>
        <v>595.18718604599997</v>
      </c>
    </row>
    <row r="21" spans="2:12" ht="28.5">
      <c r="B21" s="691">
        <v>17</v>
      </c>
      <c r="C21" s="692" t="s">
        <v>259</v>
      </c>
      <c r="D21" s="693">
        <v>4193.26</v>
      </c>
      <c r="E21" s="693">
        <v>356</v>
      </c>
      <c r="F21" s="693" t="s">
        <v>2</v>
      </c>
      <c r="G21" s="693">
        <v>4060.8510000000001</v>
      </c>
      <c r="H21" s="693">
        <f t="shared" si="0"/>
        <v>1124.8557270000001</v>
      </c>
      <c r="I21" s="742">
        <f>[1]Wskaźniki!$C$7</f>
        <v>0.81200000000000006</v>
      </c>
      <c r="J21" s="693">
        <f t="shared" si="2"/>
        <v>289.072</v>
      </c>
      <c r="K21" s="743">
        <f>[1]Wskaźniki!$C$12</f>
        <v>5.5820000000000002E-2</v>
      </c>
      <c r="L21" s="693">
        <f t="shared" si="1"/>
        <v>226.67670282</v>
      </c>
    </row>
    <row r="22" spans="2:12" ht="42.75">
      <c r="B22" s="691">
        <v>18</v>
      </c>
      <c r="C22" s="692" t="s">
        <v>622</v>
      </c>
      <c r="D22" s="693">
        <v>667.35</v>
      </c>
      <c r="E22" s="693">
        <v>33</v>
      </c>
      <c r="F22" s="693" t="s">
        <v>2</v>
      </c>
      <c r="G22" s="693">
        <v>646</v>
      </c>
      <c r="H22" s="693">
        <f t="shared" si="0"/>
        <v>178.94200000000001</v>
      </c>
      <c r="I22" s="742">
        <f>[1]Wskaźniki!$C$7</f>
        <v>0.81200000000000006</v>
      </c>
      <c r="J22" s="693">
        <f t="shared" si="2"/>
        <v>26.796000000000003</v>
      </c>
      <c r="K22" s="743">
        <f>[1]Wskaźniki!$C$12</f>
        <v>5.5820000000000002E-2</v>
      </c>
      <c r="L22" s="693">
        <f t="shared" si="1"/>
        <v>36.059719999999999</v>
      </c>
    </row>
    <row r="23" spans="2:12" ht="15">
      <c r="B23" s="691"/>
      <c r="C23" s="769" t="s">
        <v>3</v>
      </c>
      <c r="D23" s="770">
        <f>SUM(D4:D21)</f>
        <v>122862.59999999999</v>
      </c>
      <c r="E23" s="770">
        <f>SUM(E4:E21)</f>
        <v>4362.6099999999997</v>
      </c>
      <c r="F23" s="179"/>
      <c r="G23" s="770">
        <f>SUM(G4:G21)</f>
        <v>104227.34328659999</v>
      </c>
      <c r="H23" s="770">
        <f>SUM(H4:H21)</f>
        <v>28870.974090388205</v>
      </c>
      <c r="I23" s="180"/>
      <c r="J23" s="770">
        <f>SUM(J4:J21)</f>
        <v>3542.4393200000004</v>
      </c>
      <c r="K23" s="179"/>
      <c r="L23" s="767">
        <f>SUM(L4:L21)</f>
        <v>5821.8122709300123</v>
      </c>
    </row>
    <row r="25" spans="2:12">
      <c r="B25" s="1109" t="s">
        <v>211</v>
      </c>
      <c r="C25" s="1109"/>
      <c r="D25" s="1109"/>
    </row>
    <row r="26" spans="2:12">
      <c r="B26" s="771" t="s">
        <v>212</v>
      </c>
      <c r="C26" s="772">
        <v>3.6</v>
      </c>
      <c r="D26" s="773" t="s">
        <v>207</v>
      </c>
    </row>
    <row r="27" spans="2:12">
      <c r="B27" s="771" t="s">
        <v>213</v>
      </c>
      <c r="C27" s="774">
        <v>0.27700000000000002</v>
      </c>
      <c r="D27" s="773" t="s">
        <v>214</v>
      </c>
    </row>
  </sheetData>
  <mergeCells count="7">
    <mergeCell ref="B25:D25"/>
    <mergeCell ref="B3:L3"/>
    <mergeCell ref="B4:B5"/>
    <mergeCell ref="C4:C5"/>
    <mergeCell ref="D4:D5"/>
    <mergeCell ref="E4:E5"/>
    <mergeCell ref="J4: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L28"/>
  <sheetViews>
    <sheetView showGridLines="0" view="pageBreakPreview" topLeftCell="B13" zoomScaleSheetLayoutView="100" workbookViewId="0">
      <selection activeCell="H24" sqref="H24:H28"/>
    </sheetView>
  </sheetViews>
  <sheetFormatPr defaultRowHeight="15"/>
  <cols>
    <col min="1" max="1" width="2.5" style="6" customWidth="1"/>
    <col min="2" max="2" width="9" style="6"/>
    <col min="3" max="3" width="17.875" style="6" customWidth="1"/>
    <col min="4" max="4" width="15.5" style="6" customWidth="1"/>
    <col min="5" max="6" width="15.625" style="6" customWidth="1"/>
    <col min="7" max="7" width="13.5" style="6" bestFit="1" customWidth="1"/>
    <col min="8" max="8" width="9.75" style="6" bestFit="1" customWidth="1"/>
    <col min="9" max="9" width="9.125" style="6" bestFit="1" customWidth="1"/>
    <col min="10" max="10" width="12.75" style="6" customWidth="1"/>
    <col min="11" max="11" width="13.75" style="6" customWidth="1"/>
    <col min="12" max="12" width="19.125" style="6" customWidth="1"/>
    <col min="13" max="13" width="13.5" style="6" bestFit="1" customWidth="1"/>
    <col min="14" max="14" width="9" style="6" customWidth="1"/>
    <col min="15" max="15" width="11.625" style="6" customWidth="1"/>
    <col min="16" max="16" width="9" style="6" customWidth="1"/>
    <col min="17" max="19" width="11.625" style="6" customWidth="1"/>
    <col min="20" max="20" width="9" style="6" customWidth="1"/>
    <col min="21" max="16384" width="9" style="6"/>
  </cols>
  <sheetData>
    <row r="1" spans="2:12" s="9" customFormat="1" ht="15" customHeight="1" thickBot="1"/>
    <row r="2" spans="2:12" s="9" customFormat="1" ht="19.5" thickBot="1">
      <c r="B2" s="10" t="s">
        <v>11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s="9" customFormat="1" ht="15" customHeight="1"/>
    <row r="4" spans="2:12" ht="15.75" thickBot="1">
      <c r="B4" s="19"/>
      <c r="C4" s="19"/>
      <c r="D4" s="20"/>
      <c r="E4" s="20"/>
      <c r="F4" s="20"/>
      <c r="G4" s="21"/>
      <c r="H4" s="18"/>
    </row>
    <row r="5" spans="2:12" ht="15.75" thickBot="1">
      <c r="B5" s="87" t="s">
        <v>89</v>
      </c>
      <c r="C5" s="20"/>
      <c r="D5" s="20"/>
      <c r="E5" s="20"/>
      <c r="F5" s="20"/>
      <c r="G5" s="21"/>
      <c r="H5" s="18"/>
    </row>
    <row r="6" spans="2:12" ht="30">
      <c r="B6" s="1085"/>
      <c r="C6" s="1086"/>
      <c r="D6" s="24" t="s">
        <v>15</v>
      </c>
      <c r="E6" s="24" t="s">
        <v>12</v>
      </c>
      <c r="F6" s="25" t="s">
        <v>208</v>
      </c>
      <c r="G6" s="29" t="s">
        <v>13</v>
      </c>
      <c r="H6" s="26" t="s">
        <v>14</v>
      </c>
    </row>
    <row r="7" spans="2:12">
      <c r="B7" s="1092" t="str">
        <f>'En. elektryczna_2020'!B7</f>
        <v>Przemysł</v>
      </c>
      <c r="C7" s="1088"/>
      <c r="D7" s="30">
        <v>51038.84</v>
      </c>
      <c r="E7" s="27">
        <f>D7*0.0373</f>
        <v>1903.7487319999998</v>
      </c>
      <c r="F7" s="27">
        <f>E7/K11</f>
        <v>528.81909222222214</v>
      </c>
      <c r="G7" s="125">
        <f>Wskaźniki!$C$12</f>
        <v>5.5820000000000002E-2</v>
      </c>
      <c r="H7" s="28">
        <f>E7*G7</f>
        <v>106.26725422023999</v>
      </c>
    </row>
    <row r="8" spans="2:12">
      <c r="B8" s="1092" t="str">
        <f>'En. elektryczna_2020'!B8</f>
        <v>Budynki niekomunalne</v>
      </c>
      <c r="C8" s="1088"/>
      <c r="D8" s="121">
        <v>1034734.72</v>
      </c>
      <c r="E8" s="27">
        <f>D8*0.0373</f>
        <v>38595.605056</v>
      </c>
      <c r="F8" s="27">
        <f>E8/K11</f>
        <v>10721.001404444445</v>
      </c>
      <c r="G8" s="125">
        <f>Wskaźniki!$C$12</f>
        <v>5.5820000000000002E-2</v>
      </c>
      <c r="H8" s="28">
        <f>E8*G8</f>
        <v>2154.4066742259201</v>
      </c>
    </row>
    <row r="9" spans="2:12" ht="15.75" thickBot="1">
      <c r="B9" s="1092" t="str">
        <f>'En. elektryczna_2020'!B9</f>
        <v>Budynki mieszkalne</v>
      </c>
      <c r="C9" s="1088"/>
      <c r="D9" s="121">
        <v>2468100</v>
      </c>
      <c r="E9" s="27">
        <f>D9*0.0373</f>
        <v>92060.13</v>
      </c>
      <c r="F9" s="27">
        <f>E9/K11</f>
        <v>25572.258333333335</v>
      </c>
      <c r="G9" s="125">
        <f>Wskaźniki!$C$12</f>
        <v>5.5820000000000002E-2</v>
      </c>
      <c r="H9" s="28">
        <f>E9*G9</f>
        <v>5138.7964566000001</v>
      </c>
    </row>
    <row r="10" spans="2:12" s="390" customFormat="1" ht="15" customHeight="1" thickBot="1">
      <c r="B10" s="1093" t="str">
        <f>'En. elektryczna_2020'!B10</f>
        <v>Budynki komunalne</v>
      </c>
      <c r="C10" s="1094"/>
      <c r="D10" s="388">
        <f>E10/Wskaźniki!C11</f>
        <v>1001247.3883499447</v>
      </c>
      <c r="E10" s="389">
        <f>'Budynki komunalne_2014'!G4+'Budynki komunalne_2014'!G5+'Budynki komunalne_2014'!G6+'Budynki komunalne_2014'!G7+'Budynki komunalne_2014'!G10+'Budynki komunalne_2014'!G11+'Budynki komunalne_2014'!G12+'Budynki komunalne_2014'!G13</f>
        <v>36165.055667200002</v>
      </c>
      <c r="F10" s="389">
        <f>E10/K11</f>
        <v>10045.848796444445</v>
      </c>
      <c r="G10" s="125">
        <f>Wskaźniki!$C$12</f>
        <v>5.5820000000000002E-2</v>
      </c>
      <c r="H10" s="28">
        <f>E10*G10</f>
        <v>2018.7334073431041</v>
      </c>
      <c r="J10" s="1080" t="s">
        <v>211</v>
      </c>
      <c r="K10" s="1081"/>
      <c r="L10" s="1082"/>
    </row>
    <row r="11" spans="2:12" ht="15.75" thickBot="1">
      <c r="B11" s="1083" t="s">
        <v>3</v>
      </c>
      <c r="C11" s="1084"/>
      <c r="D11" s="31">
        <f>SUM(D7:D10)</f>
        <v>4555120.9483499452</v>
      </c>
      <c r="E11" s="31">
        <f>SUM(E7:E10)</f>
        <v>168724.53945520002</v>
      </c>
      <c r="F11" s="31">
        <f>SUM(F7:F10)</f>
        <v>46867.927626444442</v>
      </c>
      <c r="G11" s="32"/>
      <c r="H11" s="33">
        <f>SUM(H7:H10)</f>
        <v>9418.203792389264</v>
      </c>
      <c r="J11" s="587" t="s">
        <v>212</v>
      </c>
      <c r="K11" s="590">
        <v>3.6</v>
      </c>
      <c r="L11" s="588" t="s">
        <v>207</v>
      </c>
    </row>
    <row r="12" spans="2:12" ht="15.75" thickBot="1">
      <c r="B12" s="1117"/>
      <c r="C12" s="1117"/>
      <c r="D12" s="120"/>
      <c r="E12" s="118"/>
      <c r="G12" s="119"/>
      <c r="H12" s="118"/>
      <c r="J12" s="549" t="s">
        <v>213</v>
      </c>
      <c r="K12" s="591">
        <v>0.27700000000000002</v>
      </c>
      <c r="L12" s="589" t="s">
        <v>214</v>
      </c>
    </row>
    <row r="13" spans="2:12" ht="15.75" thickBot="1">
      <c r="B13" s="1078" t="s">
        <v>741</v>
      </c>
      <c r="C13" s="1079"/>
      <c r="D13" s="20"/>
      <c r="E13" s="20"/>
      <c r="F13" s="20"/>
      <c r="G13" s="21"/>
      <c r="H13" s="18"/>
    </row>
    <row r="14" spans="2:12" ht="30">
      <c r="B14" s="1085"/>
      <c r="C14" s="1086"/>
      <c r="D14" s="24" t="s">
        <v>15</v>
      </c>
      <c r="E14" s="24" t="s">
        <v>12</v>
      </c>
      <c r="F14" s="24" t="str">
        <f>F6</f>
        <v>zużycie gazu [MWh]</v>
      </c>
      <c r="G14" s="29" t="s">
        <v>13</v>
      </c>
      <c r="H14" s="26" t="s">
        <v>14</v>
      </c>
    </row>
    <row r="15" spans="2:12">
      <c r="B15" s="1092" t="str">
        <f>B7</f>
        <v>Przemysł</v>
      </c>
      <c r="C15" s="1088"/>
      <c r="D15" s="30">
        <f>E15/0.0373</f>
        <v>789085.25469168904</v>
      </c>
      <c r="E15" s="74">
        <f>F15*$K$11</f>
        <v>29432.880000000001</v>
      </c>
      <c r="F15" s="74">
        <f>K24</f>
        <v>8175.8</v>
      </c>
      <c r="G15" s="125">
        <f>Wskaźniki!$C$12</f>
        <v>5.5820000000000002E-2</v>
      </c>
      <c r="H15" s="28">
        <f>E15*G15</f>
        <v>1642.9433616000001</v>
      </c>
    </row>
    <row r="16" spans="2:12">
      <c r="B16" s="1092" t="str">
        <f>B8</f>
        <v>Budynki niekomunalne</v>
      </c>
      <c r="C16" s="1088"/>
      <c r="D16" s="30">
        <f>E16/0.0373</f>
        <v>2721059.1744599878</v>
      </c>
      <c r="E16" s="74">
        <f>F16*$K$11</f>
        <v>101495.50720735754</v>
      </c>
      <c r="F16" s="74">
        <f>K25</f>
        <v>28193.196446488204</v>
      </c>
      <c r="G16" s="125">
        <f>Wskaźniki!$C$12</f>
        <v>5.5820000000000002E-2</v>
      </c>
      <c r="H16" s="28">
        <f>E16*G16</f>
        <v>5665.4792123146981</v>
      </c>
    </row>
    <row r="17" spans="2:12">
      <c r="B17" s="1092" t="str">
        <f>B9</f>
        <v>Budynki mieszkalne</v>
      </c>
      <c r="C17" s="1088"/>
      <c r="D17" s="30">
        <f>E17/0.0373</f>
        <v>3499701.8766756039</v>
      </c>
      <c r="E17" s="74">
        <f>F17*$K$11</f>
        <v>130538.88000000002</v>
      </c>
      <c r="F17" s="74">
        <f>K26</f>
        <v>36260.800000000003</v>
      </c>
      <c r="G17" s="125">
        <f>Wskaźniki!$C$12</f>
        <v>5.5820000000000002E-2</v>
      </c>
      <c r="H17" s="28">
        <f>E17*G17</f>
        <v>7286.6802816000009</v>
      </c>
    </row>
    <row r="18" spans="2:12">
      <c r="B18" s="1092" t="str">
        <f>B10</f>
        <v>Budynki komunalne</v>
      </c>
      <c r="C18" s="1088"/>
      <c r="D18" s="30">
        <f>E18/0.0373</f>
        <v>1344112.2132075711</v>
      </c>
      <c r="E18" s="74">
        <f>F18*$K$11</f>
        <v>50135.385552642401</v>
      </c>
      <c r="F18" s="387">
        <f>F19-F15-F16-F17</f>
        <v>13926.495986845111</v>
      </c>
      <c r="G18" s="125">
        <f>Wskaźniki!$C$12</f>
        <v>5.5820000000000002E-2</v>
      </c>
      <c r="H18" s="28">
        <f>E18*G18</f>
        <v>2798.557221548499</v>
      </c>
    </row>
    <row r="19" spans="2:12" ht="15.75" thickBot="1">
      <c r="B19" s="1083" t="s">
        <v>3</v>
      </c>
      <c r="C19" s="1084"/>
      <c r="D19" s="31">
        <f>K28</f>
        <v>8626873</v>
      </c>
      <c r="E19" s="31">
        <f>D19*Wskaźniki!C11</f>
        <v>311602.65275999997</v>
      </c>
      <c r="F19" s="31">
        <f>E19/K11</f>
        <v>86556.292433333321</v>
      </c>
      <c r="G19" s="32"/>
      <c r="H19" s="33">
        <f>SUM(H15:H18)</f>
        <v>17393.660077063199</v>
      </c>
    </row>
    <row r="20" spans="2:12">
      <c r="B20" s="19"/>
      <c r="C20" s="19"/>
      <c r="E20" s="20"/>
      <c r="F20" s="973"/>
      <c r="G20" s="20"/>
      <c r="H20" s="18"/>
    </row>
    <row r="21" spans="2:12" ht="15.75" thickBot="1">
      <c r="B21" s="19"/>
      <c r="C21" s="19"/>
      <c r="D21" s="22"/>
      <c r="E21" s="20"/>
      <c r="F21" s="20"/>
      <c r="G21" s="20"/>
      <c r="H21" s="18"/>
    </row>
    <row r="22" spans="2:12" ht="15.75" thickBot="1">
      <c r="B22" s="1078" t="s">
        <v>625</v>
      </c>
      <c r="C22" s="1079"/>
      <c r="D22" s="20"/>
      <c r="E22" s="20"/>
      <c r="F22" s="20"/>
      <c r="G22" s="21"/>
      <c r="H22" s="18"/>
      <c r="J22" s="117"/>
    </row>
    <row r="23" spans="2:12" s="17" customFormat="1" ht="30">
      <c r="B23" s="1085"/>
      <c r="C23" s="1086"/>
      <c r="D23" s="24" t="s">
        <v>15</v>
      </c>
      <c r="E23" s="24" t="s">
        <v>12</v>
      </c>
      <c r="F23" s="24" t="str">
        <f>F6</f>
        <v>zużycie gazu [MWh]</v>
      </c>
      <c r="G23" s="29" t="s">
        <v>13</v>
      </c>
      <c r="H23" s="26" t="s">
        <v>14</v>
      </c>
      <c r="J23" s="117"/>
    </row>
    <row r="24" spans="2:12" ht="15" customHeight="1">
      <c r="B24" s="1087" t="str">
        <f>B7</f>
        <v>Przemysł</v>
      </c>
      <c r="C24" s="1088"/>
      <c r="D24" s="75">
        <f>(D15/Charakterystyka_2028!L9)*Charakterystyka_2028!AI9</f>
        <v>702284.39035943314</v>
      </c>
      <c r="E24" s="74">
        <f>D24*0.0373</f>
        <v>26195.207760406855</v>
      </c>
      <c r="F24" s="74">
        <f>E24/K11</f>
        <v>7276.4466001130149</v>
      </c>
      <c r="G24" s="125">
        <f>Wskaźniki!$C$12</f>
        <v>5.5820000000000002E-2</v>
      </c>
      <c r="H24" s="75">
        <f>E24*G24</f>
        <v>1462.2164971859106</v>
      </c>
      <c r="I24" s="74">
        <f>H24*0.0373</f>
        <v>54.540675345034465</v>
      </c>
      <c r="J24" s="117"/>
      <c r="K24" s="970">
        <v>8175.8</v>
      </c>
      <c r="L24" s="969" t="s">
        <v>953</v>
      </c>
    </row>
    <row r="25" spans="2:12">
      <c r="B25" s="1087" t="str">
        <f>B8</f>
        <v>Budynki niekomunalne</v>
      </c>
      <c r="C25" s="1088"/>
      <c r="D25" s="76">
        <f>(D16/Charakterystyka_2028!L9)*Charakterystyka_2028!AI9</f>
        <v>2421737.5398989343</v>
      </c>
      <c r="E25" s="74">
        <f>D25*0.0373</f>
        <v>90330.810238230246</v>
      </c>
      <c r="F25" s="74">
        <f>E25/K11</f>
        <v>25091.891732841734</v>
      </c>
      <c r="G25" s="125">
        <f>Wskaźniki!$C$12</f>
        <v>5.5820000000000002E-2</v>
      </c>
      <c r="H25" s="75">
        <f t="shared" ref="H25:H27" si="0">E25*G25</f>
        <v>5042.2658274980122</v>
      </c>
      <c r="I25" s="74">
        <f>H25*0.0373</f>
        <v>188.07651536567585</v>
      </c>
      <c r="J25" s="117"/>
      <c r="K25" s="970">
        <f>'Budynki niekomunalne_2024'!O10</f>
        <v>28193.196446488204</v>
      </c>
      <c r="L25" s="969" t="s">
        <v>955</v>
      </c>
    </row>
    <row r="26" spans="2:12">
      <c r="B26" s="1087" t="str">
        <f>B9</f>
        <v>Budynki mieszkalne</v>
      </c>
      <c r="C26" s="1088"/>
      <c r="D26" s="76">
        <f>D17/Charakterystyka_2028!L9*Charakterystyka_2028!AI9</f>
        <v>3114728.0782241905</v>
      </c>
      <c r="E26" s="74">
        <f>D26*0.0373</f>
        <v>116179.3573177623</v>
      </c>
      <c r="F26" s="74">
        <f>E26/K11</f>
        <v>32272.043699378417</v>
      </c>
      <c r="G26" s="125">
        <f>Wskaźniki!$C$12</f>
        <v>5.5820000000000002E-2</v>
      </c>
      <c r="H26" s="75">
        <f t="shared" si="0"/>
        <v>6485.1317254774922</v>
      </c>
      <c r="I26" s="74">
        <f>H26*0.0373</f>
        <v>241.89541336031047</v>
      </c>
      <c r="J26" s="117"/>
      <c r="K26" s="971">
        <v>36260.800000000003</v>
      </c>
      <c r="L26" s="969" t="s">
        <v>954</v>
      </c>
    </row>
    <row r="27" spans="2:12">
      <c r="B27" s="1089" t="str">
        <f>B10</f>
        <v>Budynki komunalne</v>
      </c>
      <c r="C27" s="1090"/>
      <c r="D27" s="386">
        <f>E27/Wskaźniki!C11</f>
        <v>1001247.3883499447</v>
      </c>
      <c r="E27" s="387">
        <f>'Budynki komunalne_2014'!G4+'Budynki komunalne_2014'!G5+'Budynki komunalne_2014'!G6+'Budynki komunalne_2014'!G7+'Budynki komunalne_2014'!G10+'Budynki komunalne_2014'!G11+'Budynki komunalne_2014'!G12+'Budynki komunalne_2014'!G13</f>
        <v>36165.055667200002</v>
      </c>
      <c r="F27" s="387">
        <f>E27/K11</f>
        <v>10045.848796444445</v>
      </c>
      <c r="G27" s="125">
        <f>Wskaźniki!$C$12</f>
        <v>5.5820000000000002E-2</v>
      </c>
      <c r="H27" s="75">
        <f t="shared" si="0"/>
        <v>2018.7334073431041</v>
      </c>
      <c r="I27" s="387">
        <f>'Budynki komunalne_2014'!K4+'Budynki komunalne_2014'!K5+'Budynki komunalne_2014'!K6+'Budynki komunalne_2014'!K7+'Budynki komunalne_2014'!K10+'Budynki komunalne_2014'!K11+'Budynki komunalne_2014'!K12+'Budynki komunalne_2014'!K13</f>
        <v>0</v>
      </c>
      <c r="J27" s="117"/>
      <c r="K27" s="972"/>
    </row>
    <row r="28" spans="2:12" ht="15.75" thickBot="1">
      <c r="B28" s="1083" t="s">
        <v>3</v>
      </c>
      <c r="C28" s="1084"/>
      <c r="D28" s="31">
        <f>SUM(D24:D27)</f>
        <v>7239997.3968325024</v>
      </c>
      <c r="E28" s="31">
        <f>SUM(E24:E27)</f>
        <v>268870.43098359939</v>
      </c>
      <c r="F28" s="31">
        <f>SUM(F24:F27)</f>
        <v>74686.23082877761</v>
      </c>
      <c r="G28" s="32"/>
      <c r="H28" s="31">
        <f>SUM(H24:H27)</f>
        <v>15008.347457504518</v>
      </c>
      <c r="I28" s="31">
        <f>SUM(I24:I27)</f>
        <v>484.51260407102075</v>
      </c>
      <c r="J28" s="117"/>
      <c r="K28" s="968">
        <v>8626873</v>
      </c>
      <c r="L28" s="969" t="s">
        <v>953</v>
      </c>
    </row>
  </sheetData>
  <mergeCells count="22">
    <mergeCell ref="J10:L10"/>
    <mergeCell ref="B6:C6"/>
    <mergeCell ref="B7:C7"/>
    <mergeCell ref="B8:C8"/>
    <mergeCell ref="B9:C9"/>
    <mergeCell ref="B10:C10"/>
    <mergeCell ref="B26:C26"/>
    <mergeCell ref="B27:C27"/>
    <mergeCell ref="B28:C28"/>
    <mergeCell ref="B11:C11"/>
    <mergeCell ref="B12:C12"/>
    <mergeCell ref="B22:C22"/>
    <mergeCell ref="B23:C23"/>
    <mergeCell ref="B24:C24"/>
    <mergeCell ref="B25:C25"/>
    <mergeCell ref="B13:C13"/>
    <mergeCell ref="B14:C14"/>
    <mergeCell ref="B15:C15"/>
    <mergeCell ref="B16:C16"/>
    <mergeCell ref="B17:C1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1:G14"/>
  <sheetViews>
    <sheetView showGridLines="0" workbookViewId="0">
      <selection activeCell="B16" sqref="B16"/>
    </sheetView>
  </sheetViews>
  <sheetFormatPr defaultRowHeight="15"/>
  <cols>
    <col min="1" max="1" width="9" style="253"/>
    <col min="2" max="2" width="22.375" style="253" customWidth="1"/>
    <col min="3" max="3" width="15.75" style="253" customWidth="1"/>
    <col min="4" max="4" width="15.875" style="253" customWidth="1"/>
    <col min="5" max="5" width="18" style="253" customWidth="1"/>
    <col min="6" max="6" width="13.5" style="253" customWidth="1"/>
    <col min="7" max="7" width="12.125" style="253" customWidth="1"/>
    <col min="8" max="8" width="9" style="253"/>
    <col min="9" max="9" width="18.25" style="253" customWidth="1"/>
    <col min="10" max="16384" width="9" style="253"/>
  </cols>
  <sheetData>
    <row r="1" spans="2:7" ht="15.75" thickBot="1"/>
    <row r="2" spans="2:7" ht="15.75" customHeight="1" thickBot="1">
      <c r="B2" s="1119" t="s">
        <v>374</v>
      </c>
      <c r="C2" s="1120"/>
      <c r="D2" s="1120"/>
      <c r="E2" s="1120"/>
      <c r="F2" s="1120"/>
      <c r="G2" s="1121"/>
    </row>
    <row r="3" spans="2:7" ht="28.5" customHeight="1" thickBot="1">
      <c r="B3" s="1118" t="s">
        <v>375</v>
      </c>
      <c r="C3" s="1118"/>
      <c r="D3" s="1118"/>
      <c r="E3" s="1118"/>
    </row>
    <row r="4" spans="2:7" ht="45">
      <c r="B4" s="280">
        <v>2014</v>
      </c>
      <c r="C4" s="281" t="s">
        <v>372</v>
      </c>
      <c r="D4" s="281" t="s">
        <v>364</v>
      </c>
      <c r="E4" s="282" t="s">
        <v>373</v>
      </c>
      <c r="F4" s="281" t="s">
        <v>391</v>
      </c>
      <c r="G4" s="364" t="s">
        <v>392</v>
      </c>
    </row>
    <row r="5" spans="2:7">
      <c r="B5" s="283" t="s">
        <v>368</v>
      </c>
      <c r="C5" s="284">
        <v>0</v>
      </c>
      <c r="D5" s="284">
        <v>0</v>
      </c>
      <c r="E5" s="285">
        <v>0</v>
      </c>
      <c r="F5" s="284">
        <f>Wskaźniki!$C$13</f>
        <v>0.09</v>
      </c>
      <c r="G5" s="365">
        <f>D5*F5</f>
        <v>0</v>
      </c>
    </row>
    <row r="6" spans="2:7">
      <c r="B6" s="283" t="s">
        <v>369</v>
      </c>
      <c r="C6" s="284">
        <v>34</v>
      </c>
      <c r="D6" s="284">
        <v>28079</v>
      </c>
      <c r="E6" s="285">
        <v>71410</v>
      </c>
      <c r="F6" s="284">
        <f>Wskaźniki!$C$13</f>
        <v>0.09</v>
      </c>
      <c r="G6" s="365">
        <f>D6*F6</f>
        <v>2527.11</v>
      </c>
    </row>
    <row r="7" spans="2:7">
      <c r="B7" s="283" t="s">
        <v>370</v>
      </c>
      <c r="C7" s="284">
        <v>3</v>
      </c>
      <c r="D7" s="284">
        <v>3040</v>
      </c>
      <c r="E7" s="285">
        <v>5445</v>
      </c>
      <c r="F7" s="284">
        <f>Wskaźniki!$C$13</f>
        <v>0.09</v>
      </c>
      <c r="G7" s="365">
        <f>D7*F7</f>
        <v>273.59999999999997</v>
      </c>
    </row>
    <row r="8" spans="2:7" ht="15.75" thickBot="1">
      <c r="B8" s="286" t="s">
        <v>371</v>
      </c>
      <c r="C8" s="287">
        <v>1</v>
      </c>
      <c r="D8" s="287">
        <v>350</v>
      </c>
      <c r="E8" s="288">
        <v>200</v>
      </c>
      <c r="F8" s="287">
        <f>Wskaźniki!$C$13</f>
        <v>0.09</v>
      </c>
      <c r="G8" s="366">
        <f>D8*F8</f>
        <v>31.5</v>
      </c>
    </row>
    <row r="9" spans="2:7" ht="15.75" thickBot="1"/>
    <row r="10" spans="2:7" ht="45">
      <c r="B10" s="280" t="s">
        <v>387</v>
      </c>
      <c r="C10" s="281" t="s">
        <v>372</v>
      </c>
      <c r="D10" s="281" t="s">
        <v>364</v>
      </c>
      <c r="E10" s="281" t="s">
        <v>373</v>
      </c>
      <c r="F10" s="281" t="s">
        <v>391</v>
      </c>
      <c r="G10" s="364" t="s">
        <v>392</v>
      </c>
    </row>
    <row r="11" spans="2:7">
      <c r="B11" s="283" t="s">
        <v>368</v>
      </c>
      <c r="C11" s="284">
        <v>0</v>
      </c>
      <c r="D11" s="284">
        <f>D5/Charakterystyka_2020!L105*Charakterystyka_2020!AD105</f>
        <v>0</v>
      </c>
      <c r="E11" s="284">
        <v>0</v>
      </c>
      <c r="F11" s="284">
        <f>Wskaźniki!$C$13</f>
        <v>0.09</v>
      </c>
      <c r="G11" s="367">
        <f>D11*F11</f>
        <v>0</v>
      </c>
    </row>
    <row r="12" spans="2:7">
      <c r="B12" s="283" t="s">
        <v>369</v>
      </c>
      <c r="C12" s="284">
        <v>34</v>
      </c>
      <c r="D12" s="284">
        <f>INT(D6/Charakterystyka_2020!L67*Charakterystyka_2020!AI67)</f>
        <v>30154</v>
      </c>
      <c r="E12" s="284">
        <f>INT(E6/Charakterystyka_2020!L67*Charakterystyka_2020!AI67)</f>
        <v>76688</v>
      </c>
      <c r="F12" s="284">
        <f>Wskaźniki!$C$13</f>
        <v>0.09</v>
      </c>
      <c r="G12" s="367">
        <f>D12*F12</f>
        <v>2713.8599999999997</v>
      </c>
    </row>
    <row r="13" spans="2:7">
      <c r="B13" s="283" t="s">
        <v>370</v>
      </c>
      <c r="C13" s="284">
        <v>3</v>
      </c>
      <c r="D13" s="284">
        <f>D7</f>
        <v>3040</v>
      </c>
      <c r="E13" s="284">
        <f>E7</f>
        <v>5445</v>
      </c>
      <c r="F13" s="284">
        <f>Wskaźniki!$C$13</f>
        <v>0.09</v>
      </c>
      <c r="G13" s="367">
        <f>D13*F13</f>
        <v>273.59999999999997</v>
      </c>
    </row>
    <row r="14" spans="2:7" ht="15.75" thickBot="1">
      <c r="B14" s="286" t="s">
        <v>371</v>
      </c>
      <c r="C14" s="287">
        <v>1</v>
      </c>
      <c r="D14" s="287">
        <f>INT(D8/Charakterystyka_2020!L105*Charakterystyka_2020!AD105)</f>
        <v>444</v>
      </c>
      <c r="E14" s="287">
        <f>INT(E8/Charakterystyka_2020!L105*Charakterystyka_2020!AD105)</f>
        <v>253</v>
      </c>
      <c r="F14" s="287">
        <f>Wskaźniki!$C$13</f>
        <v>0.09</v>
      </c>
      <c r="G14" s="367">
        <f>D14*F14</f>
        <v>39.96</v>
      </c>
    </row>
  </sheetData>
  <mergeCells count="2">
    <mergeCell ref="B3:E3"/>
    <mergeCell ref="B2: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G20"/>
  <sheetViews>
    <sheetView showGridLines="0" topLeftCell="A13" workbookViewId="0">
      <selection activeCell="G17" sqref="G17:G20"/>
    </sheetView>
  </sheetViews>
  <sheetFormatPr defaultRowHeight="15"/>
  <cols>
    <col min="1" max="1" width="9" style="253"/>
    <col min="2" max="2" width="22.375" style="253" customWidth="1"/>
    <col min="3" max="3" width="15.75" style="253" customWidth="1"/>
    <col min="4" max="4" width="15.875" style="253" customWidth="1"/>
    <col min="5" max="5" width="18" style="253" customWidth="1"/>
    <col min="6" max="6" width="13.5" style="253" customWidth="1"/>
    <col min="7" max="7" width="12.125" style="253" customWidth="1"/>
    <col min="8" max="8" width="9" style="253"/>
    <col min="9" max="9" width="18.25" style="253" customWidth="1"/>
    <col min="10" max="16384" width="9" style="253"/>
  </cols>
  <sheetData>
    <row r="1" spans="2:7" ht="15.75" thickBot="1"/>
    <row r="2" spans="2:7" ht="15.75" customHeight="1" thickBot="1">
      <c r="B2" s="1122" t="s">
        <v>374</v>
      </c>
      <c r="C2" s="1123"/>
      <c r="D2" s="1123"/>
      <c r="E2" s="1123"/>
      <c r="F2" s="1123"/>
      <c r="G2" s="1124"/>
    </row>
    <row r="3" spans="2:7" ht="28.5" customHeight="1" thickBot="1">
      <c r="B3" s="1118" t="s">
        <v>375</v>
      </c>
      <c r="C3" s="1118"/>
      <c r="D3" s="1118"/>
      <c r="E3" s="1118"/>
    </row>
    <row r="4" spans="2:7" ht="45">
      <c r="B4" s="686">
        <v>2014</v>
      </c>
      <c r="C4" s="687" t="s">
        <v>372</v>
      </c>
      <c r="D4" s="687" t="s">
        <v>364</v>
      </c>
      <c r="E4" s="688" t="s">
        <v>373</v>
      </c>
      <c r="F4" s="687" t="s">
        <v>391</v>
      </c>
      <c r="G4" s="689" t="s">
        <v>392</v>
      </c>
    </row>
    <row r="5" spans="2:7">
      <c r="B5" s="283" t="s">
        <v>368</v>
      </c>
      <c r="C5" s="284">
        <v>0</v>
      </c>
      <c r="D5" s="284">
        <v>0</v>
      </c>
      <c r="E5" s="285">
        <v>0</v>
      </c>
      <c r="F5" s="284">
        <f>Wskaźniki!$C$13</f>
        <v>0.09</v>
      </c>
      <c r="G5" s="365">
        <f>D5*F5</f>
        <v>0</v>
      </c>
    </row>
    <row r="6" spans="2:7">
      <c r="B6" s="283" t="s">
        <v>747</v>
      </c>
      <c r="C6" s="284">
        <v>34</v>
      </c>
      <c r="D6" s="284">
        <v>28079</v>
      </c>
      <c r="E6" s="285">
        <v>71410</v>
      </c>
      <c r="F6" s="284">
        <f>Wskaźniki!$C$13</f>
        <v>0.09</v>
      </c>
      <c r="G6" s="365">
        <f>D6*F6</f>
        <v>2527.11</v>
      </c>
    </row>
    <row r="7" spans="2:7" ht="30">
      <c r="B7" s="283" t="s">
        <v>745</v>
      </c>
      <c r="C7" s="284">
        <v>3</v>
      </c>
      <c r="D7" s="284">
        <v>3040</v>
      </c>
      <c r="E7" s="285">
        <v>5445</v>
      </c>
      <c r="F7" s="284">
        <f>Wskaźniki!$C$13</f>
        <v>0.09</v>
      </c>
      <c r="G7" s="365">
        <f>D7*F7</f>
        <v>273.59999999999997</v>
      </c>
    </row>
    <row r="8" spans="2:7" ht="15.75" thickBot="1">
      <c r="B8" s="286" t="s">
        <v>371</v>
      </c>
      <c r="C8" s="287">
        <v>1</v>
      </c>
      <c r="D8" s="287">
        <v>350</v>
      </c>
      <c r="E8" s="288">
        <v>200</v>
      </c>
      <c r="F8" s="287">
        <f>Wskaźniki!$C$13</f>
        <v>0.09</v>
      </c>
      <c r="G8" s="366">
        <f>D8*F8</f>
        <v>31.5</v>
      </c>
    </row>
    <row r="9" spans="2:7" ht="15.75" thickBot="1">
      <c r="B9" s="753"/>
      <c r="C9" s="753"/>
      <c r="D9" s="753"/>
      <c r="E9" s="753"/>
      <c r="F9" s="753"/>
      <c r="G9" s="754"/>
    </row>
    <row r="10" spans="2:7" ht="45">
      <c r="B10" s="686">
        <v>2024</v>
      </c>
      <c r="C10" s="687" t="s">
        <v>372</v>
      </c>
      <c r="D10" s="687" t="s">
        <v>364</v>
      </c>
      <c r="E10" s="688" t="s">
        <v>373</v>
      </c>
      <c r="F10" s="687" t="s">
        <v>391</v>
      </c>
      <c r="G10" s="689" t="s">
        <v>392</v>
      </c>
    </row>
    <row r="11" spans="2:7">
      <c r="B11" s="283" t="s">
        <v>368</v>
      </c>
      <c r="C11" s="284">
        <v>0</v>
      </c>
      <c r="D11" s="284">
        <v>0</v>
      </c>
      <c r="E11" s="285">
        <v>0</v>
      </c>
      <c r="F11" s="284">
        <f>Wskaźniki!$C$13</f>
        <v>0.09</v>
      </c>
      <c r="G11" s="365">
        <f>D11*F11</f>
        <v>0</v>
      </c>
    </row>
    <row r="12" spans="2:7">
      <c r="B12" s="283" t="s">
        <v>747</v>
      </c>
      <c r="C12" s="284">
        <v>522</v>
      </c>
      <c r="D12" s="284">
        <v>28079</v>
      </c>
      <c r="E12" s="285">
        <v>71410</v>
      </c>
      <c r="F12" s="284">
        <f>Wskaźniki!$C$13</f>
        <v>0.09</v>
      </c>
      <c r="G12" s="365">
        <f>D12*F12</f>
        <v>2527.11</v>
      </c>
    </row>
    <row r="13" spans="2:7" ht="30">
      <c r="B13" s="283" t="s">
        <v>745</v>
      </c>
      <c r="C13" s="284">
        <f>'Budynki komunalne_2028'!B56</f>
        <v>0</v>
      </c>
      <c r="D13" s="755">
        <f>'Budynki komunalne_2024'!I40</f>
        <v>10542.421927075809</v>
      </c>
      <c r="E13" s="285">
        <v>5445</v>
      </c>
      <c r="F13" s="284">
        <f>Wskaźniki!$C$13</f>
        <v>0.09</v>
      </c>
      <c r="G13" s="365">
        <f>D13*F13</f>
        <v>948.81797343682285</v>
      </c>
    </row>
    <row r="14" spans="2:7" ht="15.75" thickBot="1">
      <c r="B14" s="286" t="s">
        <v>371</v>
      </c>
      <c r="C14" s="287">
        <v>1</v>
      </c>
      <c r="D14" s="287">
        <v>350</v>
      </c>
      <c r="E14" s="288">
        <v>200</v>
      </c>
      <c r="F14" s="287">
        <f>Wskaźniki!$C$13</f>
        <v>0.09</v>
      </c>
      <c r="G14" s="366">
        <f>D14*F14</f>
        <v>31.5</v>
      </c>
    </row>
    <row r="15" spans="2:7" ht="15.75" thickBot="1">
      <c r="B15" s="753"/>
      <c r="C15" s="753"/>
      <c r="D15" s="753"/>
      <c r="E15" s="753"/>
      <c r="F15" s="753"/>
      <c r="G15" s="754"/>
    </row>
    <row r="16" spans="2:7" ht="45">
      <c r="B16" s="686" t="s">
        <v>746</v>
      </c>
      <c r="C16" s="687" t="s">
        <v>372</v>
      </c>
      <c r="D16" s="687" t="s">
        <v>364</v>
      </c>
      <c r="E16" s="687" t="s">
        <v>373</v>
      </c>
      <c r="F16" s="687" t="s">
        <v>391</v>
      </c>
      <c r="G16" s="689" t="s">
        <v>392</v>
      </c>
    </row>
    <row r="17" spans="2:7">
      <c r="B17" s="283" t="s">
        <v>368</v>
      </c>
      <c r="C17" s="284">
        <v>0</v>
      </c>
      <c r="D17" s="284">
        <f>D5/Charakterystyka_2020!L105*Charakterystyka_2028!AD105</f>
        <v>0</v>
      </c>
      <c r="E17" s="284">
        <v>0</v>
      </c>
      <c r="F17" s="284">
        <f>Wskaźniki!$C$13</f>
        <v>0.09</v>
      </c>
      <c r="G17" s="367">
        <f>D17*F17</f>
        <v>0</v>
      </c>
    </row>
    <row r="18" spans="2:7">
      <c r="B18" s="283" t="s">
        <v>369</v>
      </c>
      <c r="C18" s="284">
        <f>INT(C12*(1+Charakterystyka_2028!R67))</f>
        <v>527</v>
      </c>
      <c r="D18" s="284">
        <f>INT(D12/Charakterystyka_2020!L67*Charakterystyka_2028!AI67)</f>
        <v>33321</v>
      </c>
      <c r="E18" s="284">
        <f>INT(E6/Charakterystyka_2020!L67*Charakterystyka_2028!AI67)</f>
        <v>84741</v>
      </c>
      <c r="F18" s="284">
        <f>Wskaźniki!$C$13</f>
        <v>0.09</v>
      </c>
      <c r="G18" s="367">
        <f>D18*F18</f>
        <v>2998.89</v>
      </c>
    </row>
    <row r="19" spans="2:7">
      <c r="B19" s="283" t="s">
        <v>370</v>
      </c>
      <c r="C19" s="284">
        <f>C7</f>
        <v>3</v>
      </c>
      <c r="D19" s="755">
        <f>INT(D13/Charakterystyka_2020!L67*Charakterystyka_2028!AI67)</f>
        <v>12510</v>
      </c>
      <c r="E19" s="284">
        <f>E7</f>
        <v>5445</v>
      </c>
      <c r="F19" s="284">
        <f>Wskaźniki!$C$13</f>
        <v>0.09</v>
      </c>
      <c r="G19" s="367">
        <f>D19*F19</f>
        <v>1125.8999999999999</v>
      </c>
    </row>
    <row r="20" spans="2:7" ht="15.75" thickBot="1">
      <c r="B20" s="286" t="s">
        <v>371</v>
      </c>
      <c r="C20" s="287">
        <v>1</v>
      </c>
      <c r="D20" s="287">
        <f>INT(D8/Charakterystyka_2020!L105*Charakterystyka_2028!AD105)</f>
        <v>278</v>
      </c>
      <c r="E20" s="287">
        <f>INT(E8/Charakterystyka_2020!L105*Charakterystyka_2028!AD105)</f>
        <v>159</v>
      </c>
      <c r="F20" s="287">
        <f>Wskaźniki!$C$13</f>
        <v>0.09</v>
      </c>
      <c r="G20" s="367">
        <f>D20*F20</f>
        <v>25.02</v>
      </c>
    </row>
  </sheetData>
  <mergeCells count="2">
    <mergeCell ref="B2:G2"/>
    <mergeCell ref="B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2:J52"/>
  <sheetViews>
    <sheetView topLeftCell="A34" zoomScale="80" zoomScaleNormal="80" workbookViewId="0">
      <selection activeCell="P34" sqref="P34"/>
    </sheetView>
  </sheetViews>
  <sheetFormatPr defaultRowHeight="15"/>
  <cols>
    <col min="1" max="1" width="5.375" style="521" customWidth="1"/>
    <col min="2" max="2" width="35.875" style="520" customWidth="1"/>
    <col min="3" max="3" width="18.875" style="521" customWidth="1"/>
    <col min="4" max="4" width="18" style="521" customWidth="1"/>
    <col min="5" max="5" width="15.875" style="521" customWidth="1"/>
    <col min="6" max="6" width="17" style="521" customWidth="1"/>
    <col min="7" max="7" width="22.125" style="521" customWidth="1"/>
    <col min="8" max="8" width="18.875" style="521" customWidth="1"/>
    <col min="9" max="9" width="17.625" style="521" customWidth="1"/>
    <col min="10" max="10" width="12.625" style="521" customWidth="1"/>
    <col min="11" max="16384" width="9" style="521"/>
  </cols>
  <sheetData>
    <row r="2" spans="2:10" ht="28.5" customHeight="1">
      <c r="B2" s="1127" t="s">
        <v>211</v>
      </c>
      <c r="C2" s="1127"/>
      <c r="D2" s="1127"/>
      <c r="E2" s="529"/>
      <c r="G2" s="528"/>
    </row>
    <row r="3" spans="2:10">
      <c r="B3" s="604" t="s">
        <v>212</v>
      </c>
      <c r="C3" s="605">
        <v>3.6</v>
      </c>
      <c r="D3" s="606" t="s">
        <v>207</v>
      </c>
      <c r="E3" s="530"/>
    </row>
    <row r="4" spans="2:10">
      <c r="B4" s="604" t="s">
        <v>213</v>
      </c>
      <c r="C4" s="607">
        <v>0.27700000000000002</v>
      </c>
      <c r="D4" s="606" t="s">
        <v>214</v>
      </c>
      <c r="E4" s="530"/>
    </row>
    <row r="5" spans="2:10">
      <c r="B5" s="521"/>
    </row>
    <row r="6" spans="2:10">
      <c r="B6" s="1128" t="s">
        <v>366</v>
      </c>
      <c r="C6" s="1128"/>
      <c r="D6" s="1128"/>
      <c r="E6" s="1128"/>
      <c r="F6" s="1128"/>
      <c r="G6" s="1128"/>
      <c r="H6" s="1128"/>
    </row>
    <row r="7" spans="2:10" ht="30">
      <c r="B7" s="544" t="s">
        <v>360</v>
      </c>
      <c r="C7" s="599" t="s">
        <v>67</v>
      </c>
      <c r="D7" s="599" t="s">
        <v>365</v>
      </c>
      <c r="E7" s="544" t="s">
        <v>504</v>
      </c>
      <c r="F7" s="599" t="s">
        <v>108</v>
      </c>
      <c r="G7" s="599" t="s">
        <v>364</v>
      </c>
      <c r="H7" s="600" t="s">
        <v>359</v>
      </c>
    </row>
    <row r="8" spans="2:10">
      <c r="B8" s="539" t="s">
        <v>58</v>
      </c>
      <c r="C8" s="601" t="s">
        <v>362</v>
      </c>
      <c r="D8" s="531">
        <f>'Ankietyzacja mieszkanców_2014'!H95</f>
        <v>197</v>
      </c>
      <c r="E8" s="531">
        <f>'Ankietyzacja mieszkanców_2014'!E12+'Ankietyzacja mieszkanców_2014'!E14+'Ankietyzacja mieszkanców_2014'!E16+'Ankietyzacja mieszkanców_2014'!E17+'Ankietyzacja mieszkanców_2014'!E19+'Ankietyzacja mieszkanców_2014'!E20+'Ankietyzacja mieszkanców_2014'!E21+'Ankietyzacja mieszkanców_2014'!E22+'Ankietyzacja mieszkanców_2014'!E23+'Ankietyzacja mieszkanców_2014'!E24+'Ankietyzacja mieszkanców_2014'!E25+'Ankietyzacja mieszkanców_2014'!E26+'Ankietyzacja mieszkanców_2014'!E27+'Ankietyzacja mieszkanców_2014'!E28+'Ankietyzacja mieszkanców_2014'!E29+'Ankietyzacja mieszkanców_2014'!E30+'Ankietyzacja mieszkanców_2014'!E34+'Ankietyzacja mieszkanców_2014'!E35+'Ankietyzacja mieszkanców_2014'!E36+'Ankietyzacja mieszkanców_2014'!E38+'Ankietyzacja mieszkanców_2014'!E42+'Ankietyzacja mieszkanców_2014'!E43+'Ankietyzacja mieszkanców_2014'!E48+'Ankietyzacja mieszkanców_2014'!E50+'Ankietyzacja mieszkanców_2014'!E51+'Ankietyzacja mieszkanców_2014'!E52+'Ankietyzacja mieszkanców_2014'!E53+'Ankietyzacja mieszkanców_2014'!E57+'Ankietyzacja mieszkanców_2014'!E59+'Ankietyzacja mieszkanców_2014'!E60+'Ankietyzacja mieszkanców_2014'!E64+'Ankietyzacja mieszkanców_2014'!E65+'Ankietyzacja mieszkanców_2014'!E66+'Ankietyzacja mieszkanców_2014'!E67+'Ankietyzacja mieszkanców_2014'!E68+'Ankietyzacja mieszkanców_2014'!E69+'Ankietyzacja mieszkanców_2014'!E70+'Ankietyzacja mieszkanców_2014'!E73+'Ankietyzacja mieszkanców_2014'!E76+'Ankietyzacja mieszkanców_2014'!E77+'Ankietyzacja mieszkanców_2014'!E79+'Ankietyzacja mieszkanców_2014'!E80+'Ankietyzacja mieszkanców_2014'!E87+'Ankietyzacja mieszkanców_2014'!E88+'Ankietyzacja mieszkanców_2014'!E89+'Ankietyzacja mieszkanców_2014'!E92+'Ankietyzacja mieszkanców_2014'!E93+'Ankietyzacja mieszkanców_2014'!E94</f>
        <v>6555</v>
      </c>
      <c r="F8" s="601">
        <v>20.7</v>
      </c>
      <c r="G8" s="602">
        <f>D8*F8</f>
        <v>4077.8999999999996</v>
      </c>
      <c r="H8" s="603">
        <f>G8*C4</f>
        <v>1129.5782999999999</v>
      </c>
    </row>
    <row r="9" spans="2:10">
      <c r="B9" s="539" t="s">
        <v>59</v>
      </c>
      <c r="C9" s="601" t="s">
        <v>207</v>
      </c>
      <c r="D9" s="531">
        <f>'Ankietyzacja mieszkanców_2014'!I95</f>
        <v>221.37569999999999</v>
      </c>
      <c r="E9" s="531">
        <f>'Ankietyzacja mieszkanców_2014'!E12+'Ankietyzacja mieszkanców_2014'!E74+'Ankietyzacja mieszkanców_2014'!E78+'Ankietyzacja mieszkanców_2014'!E90</f>
        <v>525</v>
      </c>
      <c r="F9" s="601">
        <v>0</v>
      </c>
      <c r="G9" s="602">
        <f>D9</f>
        <v>221.37569999999999</v>
      </c>
      <c r="H9" s="603">
        <f>G9*C4</f>
        <v>61.321068900000007</v>
      </c>
    </row>
    <row r="10" spans="2:10">
      <c r="B10" s="539" t="s">
        <v>113</v>
      </c>
      <c r="C10" s="601" t="s">
        <v>214</v>
      </c>
      <c r="D10" s="531">
        <f>'Ankietyzacja mieszkanców_2014'!K95</f>
        <v>73.813999999999993</v>
      </c>
      <c r="E10" s="531">
        <f>'Ankietyzacja mieszkanców_2014'!E9+'Ankietyzacja mieszkanców_2014'!E56</f>
        <v>218</v>
      </c>
      <c r="F10" s="601" t="s">
        <v>90</v>
      </c>
      <c r="G10" s="602">
        <f>D10*3.6</f>
        <v>265.73039999999997</v>
      </c>
      <c r="H10" s="603">
        <f>D10</f>
        <v>73.813999999999993</v>
      </c>
    </row>
    <row r="11" spans="2:10">
      <c r="B11" s="539" t="s">
        <v>41</v>
      </c>
      <c r="C11" s="601" t="s">
        <v>363</v>
      </c>
      <c r="D11" s="531">
        <f>'Ankietyzacja mieszkanców_2014'!J95</f>
        <v>199615</v>
      </c>
      <c r="E11" s="531">
        <f>'Ankietyzacja mieszkanców_2014'!E6+'Ankietyzacja mieszkanców_2014'!E7+'Ankietyzacja mieszkanców_2014'!E8+'Ankietyzacja mieszkanców_2014'!E11+'Ankietyzacja mieszkanców_2014'!E13+'Ankietyzacja mieszkanców_2014'!E15+'Ankietyzacja mieszkanców_2014'!E18+'Ankietyzacja mieszkanców_2014'!E31+'Ankietyzacja mieszkanców_2014'!E32+'Ankietyzacja mieszkanców_2014'!E37+'Ankietyzacja mieszkanców_2014'!E39+'Ankietyzacja mieszkanców_2014'!E40+'Ankietyzacja mieszkanców_2014'!E41+'Ankietyzacja mieszkanców_2014'!E44+'Ankietyzacja mieszkanców_2014'!E45+'Ankietyzacja mieszkanców_2014'!E46+'Ankietyzacja mieszkanców_2014'!E47+'Ankietyzacja mieszkanców_2014'!E49+'Ankietyzacja mieszkanców_2014'!E52+'Ankietyzacja mieszkanców_2014'!E53+'Ankietyzacja mieszkanców_2014'!E54+'Ankietyzacja mieszkanców_2014'!E55+'Ankietyzacja mieszkanców_2014'!E56+'Ankietyzacja mieszkanców_2014'!E57+'Ankietyzacja mieszkanców_2014'!E58+'Ankietyzacja mieszkanców_2014'!E61+'Ankietyzacja mieszkanców_2014'!E62+'Ankietyzacja mieszkanców_2014'!E63+'Ankietyzacja mieszkanców_2014'!E70+'Ankietyzacja mieszkanców_2014'!E71+'Ankietyzacja mieszkanców_2014'!E73+'Ankietyzacja mieszkanców_2014'!E75+'Ankietyzacja mieszkanców_2014'!E81+'Ankietyzacja mieszkanców_2014'!E82+'Ankietyzacja mieszkanców_2014'!E83+'Ankietyzacja mieszkanców_2014'!E84+'Ankietyzacja mieszkanców_2014'!E85+'Ankietyzacja mieszkanców_2014'!E86+'Ankietyzacja mieszkanców_2014'!E91</f>
        <v>5473.55</v>
      </c>
      <c r="F11" s="601">
        <f>Wskaźniki!C11</f>
        <v>3.6119999999999999E-2</v>
      </c>
      <c r="G11" s="602">
        <f>D11*F11</f>
        <v>7210.0937999999996</v>
      </c>
      <c r="H11" s="603">
        <f>G11*C4</f>
        <v>1997.1959826</v>
      </c>
    </row>
    <row r="12" spans="2:10">
      <c r="B12" s="539" t="s">
        <v>558</v>
      </c>
      <c r="C12" s="601" t="s">
        <v>363</v>
      </c>
      <c r="D12" s="531">
        <f>'Ankietyzacja mieszkanców_2014'!L95</f>
        <v>73</v>
      </c>
      <c r="E12" s="531" t="s">
        <v>90</v>
      </c>
      <c r="F12" s="601" t="s">
        <v>90</v>
      </c>
      <c r="G12" s="602">
        <f>D12*Wskaźniki!C28*Wskaźniki!C29/1000</f>
        <v>782.92499999999995</v>
      </c>
      <c r="H12" s="603">
        <f>G12*C4</f>
        <v>216.870225</v>
      </c>
    </row>
    <row r="13" spans="2:10">
      <c r="B13" s="1128" t="s">
        <v>3</v>
      </c>
      <c r="C13" s="1128"/>
      <c r="D13" s="1128"/>
      <c r="E13" s="1128"/>
      <c r="F13" s="1128"/>
      <c r="G13" s="538">
        <f>SUM(G8:G12)</f>
        <v>12558.024899999999</v>
      </c>
      <c r="H13" s="538">
        <f>SUM(H8:H12)</f>
        <v>3478.7795765000001</v>
      </c>
      <c r="J13" s="528"/>
    </row>
    <row r="14" spans="2:10" ht="23.25">
      <c r="B14" s="610" t="s">
        <v>559</v>
      </c>
      <c r="C14" s="522"/>
      <c r="D14" s="522"/>
      <c r="E14" s="522"/>
      <c r="F14" s="522"/>
      <c r="G14" s="533"/>
      <c r="H14" s="533"/>
      <c r="J14" s="528"/>
    </row>
    <row r="15" spans="2:10">
      <c r="B15" s="522"/>
      <c r="C15" s="522"/>
      <c r="D15" s="522"/>
      <c r="E15" s="522"/>
      <c r="F15" s="522"/>
      <c r="G15" s="533"/>
      <c r="H15" s="533"/>
      <c r="J15" s="528"/>
    </row>
    <row r="16" spans="2:10" ht="30">
      <c r="B16" s="544" t="s">
        <v>506</v>
      </c>
      <c r="C16" s="548" t="s">
        <v>507</v>
      </c>
      <c r="D16" s="522"/>
      <c r="E16" s="522"/>
      <c r="F16" s="522"/>
      <c r="G16" s="533"/>
      <c r="H16" s="533"/>
      <c r="J16" s="528"/>
    </row>
    <row r="17" spans="2:10">
      <c r="B17" s="541" t="s">
        <v>91</v>
      </c>
      <c r="C17" s="540">
        <f>G8/G13</f>
        <v>0.32472463086133874</v>
      </c>
      <c r="D17" s="522"/>
      <c r="E17" s="522"/>
      <c r="F17" s="522"/>
      <c r="G17" s="533"/>
      <c r="H17" s="533"/>
      <c r="I17" s="526"/>
      <c r="J17" s="528"/>
    </row>
    <row r="18" spans="2:10">
      <c r="B18" s="541" t="s">
        <v>44</v>
      </c>
      <c r="C18" s="540">
        <f>G9/G13</f>
        <v>1.7628225916322241E-2</v>
      </c>
      <c r="D18" s="522"/>
      <c r="E18" s="522"/>
      <c r="F18" s="522"/>
      <c r="G18" s="533"/>
      <c r="H18" s="533"/>
      <c r="I18" s="534"/>
      <c r="J18" s="528"/>
    </row>
    <row r="19" spans="2:10">
      <c r="B19" s="541" t="s">
        <v>62</v>
      </c>
      <c r="C19" s="540">
        <f>G10/G13</f>
        <v>2.1160206490751583E-2</v>
      </c>
      <c r="D19" s="522"/>
      <c r="E19" s="522"/>
      <c r="F19" s="522"/>
      <c r="G19" s="533"/>
      <c r="H19" s="533"/>
      <c r="J19" s="528"/>
    </row>
    <row r="20" spans="2:10">
      <c r="B20" s="608" t="s">
        <v>2</v>
      </c>
      <c r="C20" s="540">
        <f>G11/G13</f>
        <v>0.57414233985154783</v>
      </c>
      <c r="D20" s="522"/>
      <c r="E20" s="522"/>
      <c r="F20" s="522"/>
      <c r="G20" s="533"/>
      <c r="H20" s="533"/>
      <c r="J20" s="528"/>
    </row>
    <row r="21" spans="2:10">
      <c r="B21" s="541" t="s">
        <v>945</v>
      </c>
      <c r="C21" s="540">
        <f>G12/G13</f>
        <v>6.2344596880039634E-2</v>
      </c>
      <c r="D21" s="522"/>
      <c r="E21" s="522"/>
      <c r="F21" s="522"/>
      <c r="H21" s="533"/>
      <c r="J21" s="528"/>
    </row>
    <row r="22" spans="2:10">
      <c r="B22" s="542" t="s">
        <v>3</v>
      </c>
      <c r="C22" s="536">
        <f>SUM(C17:C21)</f>
        <v>1</v>
      </c>
      <c r="D22" s="522"/>
      <c r="E22" s="522"/>
      <c r="F22" s="522"/>
      <c r="G22" s="533"/>
      <c r="H22" s="533"/>
      <c r="J22" s="528"/>
    </row>
    <row r="23" spans="2:10">
      <c r="B23" s="522"/>
      <c r="C23" s="522"/>
      <c r="D23" s="522"/>
      <c r="E23" s="522"/>
      <c r="F23" s="522"/>
      <c r="G23" s="533"/>
      <c r="H23" s="533"/>
      <c r="J23" s="528"/>
    </row>
    <row r="24" spans="2:10">
      <c r="B24" s="522"/>
      <c r="C24" s="522"/>
      <c r="D24" s="522"/>
      <c r="E24" s="522"/>
      <c r="F24" s="522"/>
      <c r="G24" s="533"/>
      <c r="H24" s="533"/>
      <c r="J24" s="528"/>
    </row>
    <row r="25" spans="2:10">
      <c r="B25" s="1129" t="s">
        <v>499</v>
      </c>
      <c r="C25" s="1130"/>
      <c r="D25" s="522"/>
      <c r="E25" s="522"/>
      <c r="F25" s="522"/>
      <c r="G25" s="533"/>
      <c r="H25" s="533"/>
      <c r="J25" s="528"/>
    </row>
    <row r="26" spans="2:10">
      <c r="B26" s="543" t="s">
        <v>500</v>
      </c>
      <c r="C26" s="537">
        <f>G13</f>
        <v>12558.024899999999</v>
      </c>
      <c r="D26" s="522"/>
      <c r="E26" s="522"/>
      <c r="F26" s="522"/>
      <c r="G26" s="533"/>
      <c r="H26" s="533"/>
      <c r="J26" s="528"/>
    </row>
    <row r="27" spans="2:10">
      <c r="B27" s="543" t="s">
        <v>501</v>
      </c>
      <c r="C27" s="537">
        <f>'Ankietyzacja mieszkanców_2014'!E95</f>
        <v>12101.55</v>
      </c>
      <c r="D27" s="522"/>
      <c r="E27" s="522"/>
      <c r="F27" s="522"/>
      <c r="G27" s="523"/>
      <c r="H27" s="523"/>
    </row>
    <row r="28" spans="2:10">
      <c r="B28" s="543" t="s">
        <v>502</v>
      </c>
      <c r="C28" s="537">
        <f>Charakterystyka_2028!G67-'Ciepło sieciowe_2028'!E6</f>
        <v>301246</v>
      </c>
      <c r="D28" s="522"/>
      <c r="E28" s="522"/>
      <c r="F28" s="522"/>
      <c r="G28" s="523"/>
      <c r="H28" s="523"/>
    </row>
    <row r="29" spans="2:10" ht="45">
      <c r="B29" s="539" t="s">
        <v>510</v>
      </c>
      <c r="C29" s="538">
        <f>C26*C28/C27</f>
        <v>312609.10949633725</v>
      </c>
      <c r="D29" s="522"/>
      <c r="E29" s="522"/>
      <c r="F29" s="609"/>
      <c r="G29" s="523"/>
      <c r="H29" s="523"/>
    </row>
    <row r="30" spans="2:10">
      <c r="D30" s="521" t="s">
        <v>381</v>
      </c>
      <c r="E30" s="528"/>
      <c r="F30" s="609"/>
      <c r="G30" s="523"/>
      <c r="H30" s="523"/>
    </row>
    <row r="31" spans="2:10" ht="45">
      <c r="B31" s="544" t="s">
        <v>509</v>
      </c>
      <c r="C31" s="544" t="s">
        <v>508</v>
      </c>
      <c r="D31" s="544"/>
      <c r="F31" s="522"/>
      <c r="G31" s="523"/>
      <c r="H31" s="523"/>
    </row>
    <row r="32" spans="2:10">
      <c r="B32" s="525" t="s">
        <v>91</v>
      </c>
      <c r="C32" s="677">
        <f>D32/D38</f>
        <v>0.40081113149105047</v>
      </c>
      <c r="D32" s="527">
        <f>C17*C29</f>
        <v>101511.87768508993</v>
      </c>
      <c r="E32" s="522"/>
      <c r="F32" s="522"/>
      <c r="G32" s="523"/>
      <c r="H32" s="523"/>
    </row>
    <row r="33" spans="2:8">
      <c r="B33" s="525" t="s">
        <v>44</v>
      </c>
      <c r="C33" s="677">
        <f>D33/D38</f>
        <v>2.17587103169826E-2</v>
      </c>
      <c r="D33" s="527">
        <f>C18*C29</f>
        <v>5510.7440057017493</v>
      </c>
    </row>
    <row r="34" spans="2:8">
      <c r="B34" s="525" t="s">
        <v>2</v>
      </c>
      <c r="C34" s="677">
        <f>D34/D38</f>
        <v>0.36349169882346577</v>
      </c>
      <c r="D34" s="527">
        <f>Gaz_2020!E9</f>
        <v>92060.13</v>
      </c>
    </row>
    <row r="35" spans="2:8">
      <c r="B35" s="525" t="s">
        <v>62</v>
      </c>
      <c r="C35" s="677">
        <f>D35/D38</f>
        <v>2.6118272222361859E-2</v>
      </c>
      <c r="D35" s="527">
        <f>C19*C29</f>
        <v>6614.8733078324676</v>
      </c>
      <c r="G35" s="524"/>
    </row>
    <row r="36" spans="2:8">
      <c r="B36" s="525" t="s">
        <v>945</v>
      </c>
      <c r="C36" s="677">
        <f>D36/D38</f>
        <v>7.6952611668415286E-2</v>
      </c>
      <c r="D36" s="527">
        <f>C21*C29</f>
        <v>19489.488912577315</v>
      </c>
      <c r="E36" s="532"/>
      <c r="F36" s="528"/>
      <c r="G36" s="528"/>
    </row>
    <row r="37" spans="2:8">
      <c r="B37" s="525" t="s">
        <v>209</v>
      </c>
      <c r="C37" s="677">
        <f>D37/D38</f>
        <v>0.11086757547772412</v>
      </c>
      <c r="D37" s="527">
        <f>'Ciepło sieciowe_2020'!D6</f>
        <v>28079</v>
      </c>
      <c r="E37" s="532"/>
    </row>
    <row r="38" spans="2:8">
      <c r="B38" s="545" t="s">
        <v>3</v>
      </c>
      <c r="C38" s="546">
        <f>SUM(C32:C37)</f>
        <v>1</v>
      </c>
      <c r="D38" s="547">
        <f>SUM(D32:D37)</f>
        <v>253266.11391120145</v>
      </c>
      <c r="E38" s="532"/>
    </row>
    <row r="39" spans="2:8">
      <c r="E39" s="532"/>
    </row>
    <row r="40" spans="2:8">
      <c r="B40" s="956">
        <v>2024</v>
      </c>
      <c r="E40" s="532"/>
      <c r="F40" s="1131" t="s">
        <v>947</v>
      </c>
      <c r="G40" s="1131"/>
      <c r="H40" s="962"/>
    </row>
    <row r="41" spans="2:8" ht="45">
      <c r="B41" s="544" t="s">
        <v>509</v>
      </c>
      <c r="C41" s="544" t="s">
        <v>508</v>
      </c>
      <c r="D41" s="544" t="s">
        <v>949</v>
      </c>
      <c r="F41" s="966" t="s">
        <v>92</v>
      </c>
      <c r="G41" s="966" t="s">
        <v>91</v>
      </c>
    </row>
    <row r="42" spans="2:8">
      <c r="B42" s="525" t="s">
        <v>91</v>
      </c>
      <c r="C42" s="961">
        <f t="shared" ref="C42:C47" si="0">D42/$D$48</f>
        <v>0.20153652879783535</v>
      </c>
      <c r="D42" s="964">
        <f>E42</f>
        <v>1283.3846153846155</v>
      </c>
      <c r="E42" s="963">
        <f>E52*G43%</f>
        <v>1283.3846153846155</v>
      </c>
      <c r="F42" s="962">
        <f>60+5+332+7+14</f>
        <v>418</v>
      </c>
      <c r="G42" s="962">
        <f>792+25</f>
        <v>817</v>
      </c>
      <c r="H42" s="962">
        <f>F42+G42</f>
        <v>1235</v>
      </c>
    </row>
    <row r="43" spans="2:8" ht="15.75" customHeight="1">
      <c r="B43" s="525" t="s">
        <v>44</v>
      </c>
      <c r="C43" s="961">
        <f t="shared" si="0"/>
        <v>8.3228643216080398E-3</v>
      </c>
      <c r="D43" s="959">
        <v>53</v>
      </c>
      <c r="F43" s="965">
        <f>F42*100/H42</f>
        <v>33.846153846153847</v>
      </c>
      <c r="G43" s="965">
        <f>G42*100/H42</f>
        <v>66.15384615384616</v>
      </c>
    </row>
    <row r="44" spans="2:8">
      <c r="B44" s="525" t="s">
        <v>2</v>
      </c>
      <c r="C44" s="961">
        <f t="shared" si="0"/>
        <v>0.48209798994974873</v>
      </c>
      <c r="D44" s="960">
        <v>3070</v>
      </c>
    </row>
    <row r="45" spans="2:8">
      <c r="B45" s="525" t="s">
        <v>62</v>
      </c>
      <c r="C45" s="961">
        <f t="shared" si="0"/>
        <v>0.10599874371859297</v>
      </c>
      <c r="D45" s="959">
        <v>675</v>
      </c>
    </row>
    <row r="46" spans="2:8">
      <c r="B46" s="525" t="s">
        <v>945</v>
      </c>
      <c r="C46" s="961">
        <f t="shared" si="0"/>
        <v>0.12132779281020488</v>
      </c>
      <c r="D46" s="964">
        <f>D50+D51+E46</f>
        <v>772.61538461538464</v>
      </c>
      <c r="E46" s="963">
        <f>E52*F43%</f>
        <v>656.61538461538464</v>
      </c>
      <c r="F46" s="967">
        <f>E46*100/D48</f>
        <v>10.311171240819483</v>
      </c>
    </row>
    <row r="47" spans="2:8">
      <c r="B47" s="525" t="s">
        <v>209</v>
      </c>
      <c r="C47" s="961">
        <f t="shared" si="0"/>
        <v>8.0716080402010046E-2</v>
      </c>
      <c r="D47" s="959">
        <v>514</v>
      </c>
      <c r="F47" s="963">
        <f>F46/C46</f>
        <v>84.986061330147351</v>
      </c>
    </row>
    <row r="48" spans="2:8">
      <c r="B48" s="959" t="s">
        <v>379</v>
      </c>
      <c r="C48" s="961">
        <f>SUM(C42:C47)</f>
        <v>1</v>
      </c>
      <c r="D48" s="960">
        <f>SUM(D41:D47)</f>
        <v>6368</v>
      </c>
      <c r="F48" s="526">
        <f>'Ciepło_gosp. dom._2024'!H19*F47%</f>
        <v>8144.4194005940371</v>
      </c>
    </row>
    <row r="49" spans="2:8">
      <c r="B49" s="521"/>
    </row>
    <row r="50" spans="2:8" ht="47.25" customHeight="1">
      <c r="B50" s="959" t="s">
        <v>944</v>
      </c>
      <c r="C50" s="957">
        <f>D50/$D$48</f>
        <v>4.8680904522613068E-3</v>
      </c>
      <c r="D50" s="959">
        <v>31</v>
      </c>
      <c r="E50" s="959">
        <v>850</v>
      </c>
      <c r="F50" s="1125" t="s">
        <v>946</v>
      </c>
      <c r="G50" s="1126"/>
      <c r="H50" s="1126"/>
    </row>
    <row r="51" spans="2:8">
      <c r="B51" s="959" t="s">
        <v>943</v>
      </c>
      <c r="C51" s="957">
        <f>(D45)/$D$48</f>
        <v>0.10599874371859297</v>
      </c>
      <c r="D51" s="959">
        <v>85</v>
      </c>
      <c r="E51" s="960">
        <v>1090</v>
      </c>
      <c r="F51" s="1125" t="s">
        <v>948</v>
      </c>
      <c r="G51" s="1126"/>
      <c r="H51" s="1126"/>
    </row>
    <row r="52" spans="2:8">
      <c r="E52" s="958">
        <f>SUM(E50:E51)</f>
        <v>1940</v>
      </c>
    </row>
  </sheetData>
  <mergeCells count="7">
    <mergeCell ref="F50:H50"/>
    <mergeCell ref="F51:H51"/>
    <mergeCell ref="B2:D2"/>
    <mergeCell ref="B6:H6"/>
    <mergeCell ref="B13:F13"/>
    <mergeCell ref="B25:C25"/>
    <mergeCell ref="F40:G4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1:L26"/>
  <sheetViews>
    <sheetView showGridLines="0" view="pageBreakPreview" topLeftCell="A7" zoomScale="90" zoomScaleSheetLayoutView="90" workbookViewId="0">
      <selection activeCell="C15" sqref="C15"/>
    </sheetView>
  </sheetViews>
  <sheetFormatPr defaultRowHeight="15"/>
  <cols>
    <col min="1" max="1" width="2.5" style="6" customWidth="1"/>
    <col min="2" max="2" width="31.625" style="6" customWidth="1"/>
    <col min="3" max="3" width="17.5" style="6" customWidth="1"/>
    <col min="4" max="4" width="2.5" style="6" customWidth="1"/>
    <col min="5" max="5" width="23.5" style="6" customWidth="1"/>
    <col min="6" max="6" width="14.375" style="6" customWidth="1"/>
    <col min="7" max="8" width="18.625" style="6" customWidth="1"/>
    <col min="9" max="9" width="14.625" style="6" customWidth="1"/>
    <col min="10" max="10" width="16.25" style="6" customWidth="1"/>
    <col min="11" max="11" width="6.25" style="6" customWidth="1"/>
    <col min="12" max="12" width="18" style="6" customWidth="1"/>
    <col min="13" max="13" width="13.5" style="6" bestFit="1" customWidth="1"/>
    <col min="14" max="14" width="9" style="6" customWidth="1"/>
    <col min="15" max="15" width="11.625" style="6" customWidth="1"/>
    <col min="16" max="16" width="9" style="6" customWidth="1"/>
    <col min="17" max="19" width="11.625" style="6" customWidth="1"/>
    <col min="20" max="20" width="9" style="6" customWidth="1"/>
    <col min="21" max="16384" width="9" style="6"/>
  </cols>
  <sheetData>
    <row r="1" spans="2:12" s="9" customFormat="1" ht="15" customHeight="1" thickBot="1">
      <c r="K1" s="6"/>
    </row>
    <row r="2" spans="2:12" s="9" customFormat="1" ht="19.5" thickBot="1">
      <c r="B2" s="10" t="s">
        <v>42</v>
      </c>
      <c r="C2" s="11"/>
      <c r="D2" s="11"/>
      <c r="E2" s="11"/>
      <c r="F2" s="11"/>
      <c r="G2" s="11"/>
      <c r="H2" s="11"/>
      <c r="I2" s="11"/>
      <c r="J2" s="12"/>
      <c r="K2" s="6"/>
    </row>
    <row r="3" spans="2:12" ht="15.75" thickBot="1"/>
    <row r="4" spans="2:12" ht="45.75" thickBot="1">
      <c r="B4" s="1132" t="s">
        <v>45</v>
      </c>
      <c r="C4" s="1133"/>
      <c r="E4" s="60">
        <v>2014</v>
      </c>
      <c r="F4" s="23" t="s">
        <v>43</v>
      </c>
      <c r="G4" s="35" t="s">
        <v>51</v>
      </c>
      <c r="H4" s="35" t="s">
        <v>215</v>
      </c>
      <c r="I4" s="35" t="s">
        <v>367</v>
      </c>
      <c r="J4" s="61" t="s">
        <v>8</v>
      </c>
    </row>
    <row r="5" spans="2:12">
      <c r="B5" s="56" t="s">
        <v>209</v>
      </c>
      <c r="C5" s="64">
        <f>'Ciepło założenia'!C37</f>
        <v>0.11086757547772412</v>
      </c>
      <c r="E5" s="52" t="s">
        <v>209</v>
      </c>
      <c r="F5" s="64">
        <f>$C$5</f>
        <v>0.11086757547772412</v>
      </c>
      <c r="G5" s="254">
        <f t="shared" ref="G5:G10" si="0">F5*$C$14</f>
        <v>28079</v>
      </c>
      <c r="H5" s="65">
        <f>G5*'Ciepło założenia'!C4</f>
        <v>7777.8830000000007</v>
      </c>
      <c r="I5" s="128">
        <f>Wskaźniki!C13</f>
        <v>0.09</v>
      </c>
      <c r="J5" s="259">
        <f>G5*I5</f>
        <v>2527.11</v>
      </c>
    </row>
    <row r="6" spans="2:12">
      <c r="B6" s="57" t="s">
        <v>2</v>
      </c>
      <c r="C6" s="66">
        <f>'Ciepło założenia'!C34</f>
        <v>0.36349169882346577</v>
      </c>
      <c r="E6" s="53" t="s">
        <v>2</v>
      </c>
      <c r="F6" s="123">
        <f>$C$6</f>
        <v>0.36349169882346577</v>
      </c>
      <c r="G6" s="255">
        <f t="shared" si="0"/>
        <v>92060.13</v>
      </c>
      <c r="H6" s="124">
        <f>G6*'Ciepło założenia'!C4</f>
        <v>25500.656010000002</v>
      </c>
      <c r="I6" s="129">
        <f>Wskaźniki!C12</f>
        <v>5.5820000000000002E-2</v>
      </c>
      <c r="J6" s="256">
        <f>G6*I6</f>
        <v>5138.7964566000001</v>
      </c>
    </row>
    <row r="7" spans="2:12">
      <c r="B7" s="57" t="s">
        <v>91</v>
      </c>
      <c r="C7" s="66">
        <f>'Ciepło założenia'!C32</f>
        <v>0.40081113149105047</v>
      </c>
      <c r="E7" s="54" t="s">
        <v>91</v>
      </c>
      <c r="F7" s="123">
        <f>$C$7</f>
        <v>0.40081113149105047</v>
      </c>
      <c r="G7" s="255">
        <f t="shared" si="0"/>
        <v>101511.87768508993</v>
      </c>
      <c r="H7" s="124">
        <f>G7*'Ciepło założenia'!C4</f>
        <v>28118.790118769914</v>
      </c>
      <c r="I7" s="130">
        <f>Wskaźniki!C8</f>
        <v>9.4729999999999995E-2</v>
      </c>
      <c r="J7" s="256">
        <f>G7*I7</f>
        <v>9616.2201731085679</v>
      </c>
    </row>
    <row r="8" spans="2:12">
      <c r="B8" s="57" t="s">
        <v>50</v>
      </c>
      <c r="C8" s="66">
        <f>'Ciepło założenia'!C35</f>
        <v>2.6118272222361859E-2</v>
      </c>
      <c r="E8" s="53" t="s">
        <v>50</v>
      </c>
      <c r="F8" s="123">
        <f>$C$8</f>
        <v>2.6118272222361859E-2</v>
      </c>
      <c r="G8" s="255">
        <f t="shared" si="0"/>
        <v>6614.8733078324676</v>
      </c>
      <c r="H8" s="124">
        <f>G8*'Ciepło założenia'!C4</f>
        <v>1832.3199062695937</v>
      </c>
      <c r="I8" s="129">
        <v>0.22600000000000001</v>
      </c>
      <c r="J8" s="256">
        <f>G8*I8</f>
        <v>1494.9613675701378</v>
      </c>
    </row>
    <row r="9" spans="2:12">
      <c r="B9" s="126" t="s">
        <v>44</v>
      </c>
      <c r="C9" s="127">
        <f>'Ciepło założenia'!C33</f>
        <v>2.17587103169826E-2</v>
      </c>
      <c r="E9" s="53" t="s">
        <v>44</v>
      </c>
      <c r="F9" s="123">
        <f>$C$9</f>
        <v>2.17587103169826E-2</v>
      </c>
      <c r="G9" s="255">
        <f t="shared" si="0"/>
        <v>5510.7440057017493</v>
      </c>
      <c r="H9" s="124">
        <f>G9*'Ciepło założenia'!C4</f>
        <v>1526.4760895793847</v>
      </c>
      <c r="I9" s="129">
        <f>Wskaźniki!C9</f>
        <v>7.6590000000000005E-2</v>
      </c>
      <c r="J9" s="256">
        <f>G9*I9</f>
        <v>422.06788339669703</v>
      </c>
    </row>
    <row r="10" spans="2:12" ht="15.75" thickBot="1">
      <c r="B10" s="58" t="s">
        <v>92</v>
      </c>
      <c r="C10" s="67">
        <f>'Ciepło założenia'!C36</f>
        <v>7.6952611668415286E-2</v>
      </c>
      <c r="E10" s="257" t="s">
        <v>92</v>
      </c>
      <c r="F10" s="67">
        <f>$C$10</f>
        <v>7.6952611668415286E-2</v>
      </c>
      <c r="G10" s="260">
        <f t="shared" si="0"/>
        <v>19489.488912577315</v>
      </c>
      <c r="H10" s="258">
        <f>G10*'Ciepło założenia'!C4</f>
        <v>5398.5884287839172</v>
      </c>
      <c r="I10" s="262">
        <v>0</v>
      </c>
      <c r="J10" s="263">
        <v>0</v>
      </c>
    </row>
    <row r="11" spans="2:12" ht="15.75" thickBot="1">
      <c r="B11" s="59"/>
      <c r="C11" s="63">
        <f>SUM(C5:C10)</f>
        <v>1.0000000000000002</v>
      </c>
      <c r="E11" s="62" t="s">
        <v>3</v>
      </c>
      <c r="F11" s="97"/>
      <c r="G11" s="62">
        <f>C14</f>
        <v>253266.11391120145</v>
      </c>
      <c r="H11" s="62">
        <f>SUM(H5:H10)</f>
        <v>70154.713553402806</v>
      </c>
      <c r="I11" s="55"/>
      <c r="J11" s="62">
        <f>SUM(J5:J9)</f>
        <v>19199.1558806754</v>
      </c>
      <c r="L11" s="13"/>
    </row>
    <row r="12" spans="2:12" ht="15.75" thickBot="1">
      <c r="G12" s="13"/>
    </row>
    <row r="13" spans="2:12" ht="44.25" customHeight="1">
      <c r="B13" s="1134" t="s">
        <v>46</v>
      </c>
      <c r="C13" s="1135"/>
      <c r="E13" s="60" t="s">
        <v>49</v>
      </c>
      <c r="F13" s="23" t="s">
        <v>43</v>
      </c>
      <c r="G13" s="35" t="s">
        <v>51</v>
      </c>
      <c r="H13" s="35" t="str">
        <f>H4</f>
        <v>Potrzeby cieplne zaspokajane z danego rodzaju paliwa [MWh]</v>
      </c>
      <c r="I13" s="35" t="str">
        <f>I4</f>
        <v>wskaźnik emisji [Mg CO2/GJ]</v>
      </c>
      <c r="J13" s="61" t="s">
        <v>8</v>
      </c>
    </row>
    <row r="14" spans="2:12" ht="30">
      <c r="B14" s="552" t="s">
        <v>86</v>
      </c>
      <c r="C14" s="553">
        <f>'Ciepło założenia'!D38</f>
        <v>253266.11391120145</v>
      </c>
      <c r="E14" s="53" t="str">
        <f>E5</f>
        <v>ciepło sieciowe</v>
      </c>
      <c r="F14" s="123">
        <f>$C$5</f>
        <v>0.11086757547772412</v>
      </c>
      <c r="G14" s="124">
        <f t="shared" ref="G14:G19" si="1">F14*$C$15</f>
        <v>30154.695257824915</v>
      </c>
      <c r="H14" s="124">
        <f>G14*'Ciepło założenia'!C4</f>
        <v>8352.8505864175022</v>
      </c>
      <c r="I14" s="129">
        <f>I5</f>
        <v>0.09</v>
      </c>
      <c r="J14" s="256">
        <f>G14*I14</f>
        <v>2713.9225732042423</v>
      </c>
    </row>
    <row r="15" spans="2:12" ht="30">
      <c r="B15" s="550" t="s">
        <v>47</v>
      </c>
      <c r="C15" s="551">
        <f>C14/Charakterystyka_2020!L67*Charakterystyka_2020!AI67</f>
        <v>271988.40714148834</v>
      </c>
      <c r="E15" s="53" t="str">
        <f>B6</f>
        <v>gaz</v>
      </c>
      <c r="F15" s="123">
        <f>$C$6</f>
        <v>0.36349169882346577</v>
      </c>
      <c r="G15" s="124">
        <f t="shared" si="1"/>
        <v>98865.528172148071</v>
      </c>
      <c r="H15" s="124">
        <f>G15*'Ciepło założenia'!C4</f>
        <v>27385.751303685018</v>
      </c>
      <c r="I15" s="129">
        <f>I6</f>
        <v>5.5820000000000002E-2</v>
      </c>
      <c r="J15" s="256">
        <f>G15*I15</f>
        <v>5518.6737825693053</v>
      </c>
    </row>
    <row r="16" spans="2:12" ht="30.75" thickBot="1">
      <c r="B16" s="554" t="s">
        <v>589</v>
      </c>
      <c r="C16" s="555">
        <f>C14/Charakterystyka_2020!L67</f>
        <v>0.6796244094049243</v>
      </c>
      <c r="E16" s="54" t="s">
        <v>91</v>
      </c>
      <c r="F16" s="123">
        <f>$C$7</f>
        <v>0.40081113149105047</v>
      </c>
      <c r="G16" s="124">
        <f t="shared" si="1"/>
        <v>109015.98121882846</v>
      </c>
      <c r="H16" s="124">
        <f>G16*'Ciepło założenia'!C4</f>
        <v>30197.426797615484</v>
      </c>
      <c r="I16" s="129">
        <f>I7</f>
        <v>9.4729999999999995E-2</v>
      </c>
      <c r="J16" s="256">
        <f>G16*I16</f>
        <v>10327.083900859619</v>
      </c>
    </row>
    <row r="17" spans="5:10" ht="23.25" customHeight="1">
      <c r="E17" s="53" t="str">
        <f>B8</f>
        <v>en. elektryczna</v>
      </c>
      <c r="F17" s="123">
        <f>$C$8</f>
        <v>2.6118272222361859E-2</v>
      </c>
      <c r="G17" s="124">
        <f t="shared" si="1"/>
        <v>7103.8672590479828</v>
      </c>
      <c r="H17" s="124">
        <f>G17*'Ciepło założenia'!C4</f>
        <v>1967.7712307562913</v>
      </c>
      <c r="I17" s="129">
        <f>I8</f>
        <v>0.22600000000000001</v>
      </c>
      <c r="J17" s="256">
        <f>G17*I17</f>
        <v>1605.4740005448441</v>
      </c>
    </row>
    <row r="18" spans="5:10" ht="33" customHeight="1">
      <c r="E18" s="53" t="s">
        <v>44</v>
      </c>
      <c r="F18" s="123">
        <f>$C$9</f>
        <v>2.17587103169826E-2</v>
      </c>
      <c r="G18" s="124">
        <f t="shared" si="1"/>
        <v>5918.1169605691666</v>
      </c>
      <c r="H18" s="124">
        <f>G18*'Ciepło założenia'!C4</f>
        <v>1639.3183980776594</v>
      </c>
      <c r="I18" s="129">
        <f>I9</f>
        <v>7.6590000000000005E-2</v>
      </c>
      <c r="J18" s="256">
        <f>G18*I18</f>
        <v>453.2685780099925</v>
      </c>
    </row>
    <row r="19" spans="5:10" ht="33" customHeight="1" thickBot="1">
      <c r="E19" s="257" t="s">
        <v>92</v>
      </c>
      <c r="F19" s="67">
        <f>$C$10</f>
        <v>7.6952611668415286E-2</v>
      </c>
      <c r="G19" s="258">
        <f t="shared" si="1"/>
        <v>20930.218273069782</v>
      </c>
      <c r="H19" s="258">
        <f>G19*'Ciepło założenia'!C4</f>
        <v>5797.6704616403304</v>
      </c>
      <c r="I19" s="262">
        <v>0</v>
      </c>
      <c r="J19" s="263">
        <v>0</v>
      </c>
    </row>
    <row r="20" spans="5:10" ht="15.75" thickBot="1">
      <c r="E20" s="62" t="s">
        <v>3</v>
      </c>
      <c r="F20" s="97"/>
      <c r="G20" s="62">
        <f>SUM(G14:G19)</f>
        <v>271988.40714148839</v>
      </c>
      <c r="H20" s="62">
        <f>SUM(H14:H19)</f>
        <v>75340.788778192291</v>
      </c>
      <c r="I20" s="55"/>
      <c r="J20" s="62">
        <f>SUM(J14:J18)</f>
        <v>20618.422835188005</v>
      </c>
    </row>
    <row r="21" spans="5:10" ht="18.75">
      <c r="E21" s="122"/>
      <c r="F21" s="9"/>
      <c r="G21" s="9"/>
      <c r="H21" s="9"/>
      <c r="I21" s="9"/>
      <c r="J21" s="9"/>
    </row>
    <row r="25" spans="5:10" ht="24.75" customHeight="1"/>
    <row r="26" spans="5:10" ht="24.75" customHeight="1"/>
  </sheetData>
  <mergeCells count="2">
    <mergeCell ref="B4:C4"/>
    <mergeCell ref="B13:C1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L35"/>
  <sheetViews>
    <sheetView showGridLines="0" view="pageBreakPreview" zoomScale="90" zoomScaleSheetLayoutView="90" workbookViewId="0">
      <selection activeCell="H29" sqref="G29:H29"/>
    </sheetView>
  </sheetViews>
  <sheetFormatPr defaultRowHeight="15"/>
  <cols>
    <col min="1" max="1" width="2.5" style="6" customWidth="1"/>
    <col min="2" max="2" width="31.625" style="6" customWidth="1"/>
    <col min="3" max="3" width="17.5" style="6" customWidth="1"/>
    <col min="4" max="4" width="2.5" style="6" customWidth="1"/>
    <col min="5" max="5" width="23.5" style="6" customWidth="1"/>
    <col min="6" max="6" width="14.375" style="6" customWidth="1"/>
    <col min="7" max="8" width="18.625" style="6" customWidth="1"/>
    <col min="9" max="9" width="14.625" style="6" customWidth="1"/>
    <col min="10" max="10" width="16.25" style="6" customWidth="1"/>
    <col min="11" max="11" width="6.25" style="6" customWidth="1"/>
    <col min="12" max="12" width="18" style="6" customWidth="1"/>
    <col min="13" max="13" width="13.5" style="6" bestFit="1" customWidth="1"/>
    <col min="14" max="14" width="9" style="6" customWidth="1"/>
    <col min="15" max="15" width="11.625" style="6" customWidth="1"/>
    <col min="16" max="16" width="9" style="6" customWidth="1"/>
    <col min="17" max="19" width="11.625" style="6" customWidth="1"/>
    <col min="20" max="20" width="9" style="6" customWidth="1"/>
    <col min="21" max="16384" width="9" style="6"/>
  </cols>
  <sheetData>
    <row r="1" spans="2:12" s="9" customFormat="1" ht="15" customHeight="1" thickBot="1">
      <c r="K1" s="6"/>
    </row>
    <row r="2" spans="2:12" s="9" customFormat="1" ht="19.5" thickBot="1">
      <c r="B2" s="10" t="s">
        <v>42</v>
      </c>
      <c r="C2" s="11"/>
      <c r="D2" s="11"/>
      <c r="E2" s="11"/>
      <c r="F2" s="11"/>
      <c r="G2" s="11"/>
      <c r="H2" s="11"/>
      <c r="I2" s="11"/>
      <c r="J2" s="12"/>
      <c r="K2" s="6"/>
    </row>
    <row r="3" spans="2:12" ht="15.75" thickBot="1"/>
    <row r="4" spans="2:12" ht="45.75" thickBot="1">
      <c r="B4" s="1132" t="s">
        <v>45</v>
      </c>
      <c r="C4" s="1133"/>
      <c r="E4" s="60">
        <v>2014</v>
      </c>
      <c r="F4" s="23" t="s">
        <v>43</v>
      </c>
      <c r="G4" s="35" t="s">
        <v>51</v>
      </c>
      <c r="H4" s="35" t="s">
        <v>215</v>
      </c>
      <c r="I4" s="35" t="s">
        <v>367</v>
      </c>
      <c r="J4" s="61" t="s">
        <v>8</v>
      </c>
    </row>
    <row r="5" spans="2:12">
      <c r="B5" s="56" t="s">
        <v>209</v>
      </c>
      <c r="C5" s="64">
        <f>'Ciepło założenia'!C37</f>
        <v>0.11086757547772412</v>
      </c>
      <c r="E5" s="52" t="s">
        <v>209</v>
      </c>
      <c r="F5" s="64">
        <f>$C$5</f>
        <v>0.11086757547772412</v>
      </c>
      <c r="G5" s="254">
        <f t="shared" ref="G5:G10" si="0">F5*$C$23</f>
        <v>28079</v>
      </c>
      <c r="H5" s="65">
        <f>G5*'Ciepło założenia'!C4</f>
        <v>7777.8830000000007</v>
      </c>
      <c r="I5" s="128">
        <f>Wskaźniki!C13</f>
        <v>0.09</v>
      </c>
      <c r="J5" s="259">
        <f>G5*I5</f>
        <v>2527.11</v>
      </c>
    </row>
    <row r="6" spans="2:12">
      <c r="B6" s="57" t="s">
        <v>2</v>
      </c>
      <c r="C6" s="66">
        <f>'Ciepło założenia'!C34</f>
        <v>0.36349169882346577</v>
      </c>
      <c r="E6" s="53" t="s">
        <v>2</v>
      </c>
      <c r="F6" s="123">
        <f>$C$6</f>
        <v>0.36349169882346577</v>
      </c>
      <c r="G6" s="255">
        <f t="shared" si="0"/>
        <v>92060.13</v>
      </c>
      <c r="H6" s="124">
        <f>G6*'Ciepło założenia'!C4</f>
        <v>25500.656010000002</v>
      </c>
      <c r="I6" s="129">
        <f>Wskaźniki!C12</f>
        <v>5.5820000000000002E-2</v>
      </c>
      <c r="J6" s="256">
        <f>G6*I6</f>
        <v>5138.7964566000001</v>
      </c>
    </row>
    <row r="7" spans="2:12">
      <c r="B7" s="57" t="s">
        <v>91</v>
      </c>
      <c r="C7" s="66">
        <f>'Ciepło założenia'!C32</f>
        <v>0.40081113149105047</v>
      </c>
      <c r="E7" s="54" t="s">
        <v>91</v>
      </c>
      <c r="F7" s="123">
        <f>$C$7</f>
        <v>0.40081113149105047</v>
      </c>
      <c r="G7" s="255">
        <f t="shared" si="0"/>
        <v>101511.87768508993</v>
      </c>
      <c r="H7" s="124">
        <f>G7*'Ciepło założenia'!C4</f>
        <v>28118.790118769914</v>
      </c>
      <c r="I7" s="130">
        <f>Wskaźniki!C8</f>
        <v>9.4729999999999995E-2</v>
      </c>
      <c r="J7" s="256">
        <f>G7*I7</f>
        <v>9616.2201731085679</v>
      </c>
    </row>
    <row r="8" spans="2:12">
      <c r="B8" s="57" t="s">
        <v>50</v>
      </c>
      <c r="C8" s="66">
        <f>'Ciepło założenia'!C35</f>
        <v>2.6118272222361859E-2</v>
      </c>
      <c r="E8" s="53" t="s">
        <v>50</v>
      </c>
      <c r="F8" s="123">
        <f>$C$8</f>
        <v>2.6118272222361859E-2</v>
      </c>
      <c r="G8" s="255">
        <f t="shared" si="0"/>
        <v>6614.8733078324676</v>
      </c>
      <c r="H8" s="124">
        <f>G8*'Ciepło założenia'!C4</f>
        <v>1832.3199062695937</v>
      </c>
      <c r="I8" s="129">
        <v>0.22600000000000001</v>
      </c>
      <c r="J8" s="256">
        <f>G8*I8</f>
        <v>1494.9613675701378</v>
      </c>
    </row>
    <row r="9" spans="2:12">
      <c r="B9" s="126" t="s">
        <v>44</v>
      </c>
      <c r="C9" s="127">
        <f>'Ciepło założenia'!C33</f>
        <v>2.17587103169826E-2</v>
      </c>
      <c r="E9" s="53" t="s">
        <v>44</v>
      </c>
      <c r="F9" s="123">
        <f>$C$9</f>
        <v>2.17587103169826E-2</v>
      </c>
      <c r="G9" s="255">
        <f t="shared" si="0"/>
        <v>5510.7440057017493</v>
      </c>
      <c r="H9" s="124">
        <f>G9*'Ciepło założenia'!C4</f>
        <v>1526.4760895793847</v>
      </c>
      <c r="I9" s="129">
        <f>Wskaźniki!C9</f>
        <v>7.6590000000000005E-2</v>
      </c>
      <c r="J9" s="256">
        <f>G9*I9</f>
        <v>422.06788339669703</v>
      </c>
    </row>
    <row r="10" spans="2:12" ht="15.75" thickBot="1">
      <c r="B10" s="58" t="s">
        <v>945</v>
      </c>
      <c r="C10" s="67">
        <f>'Ciepło założenia'!C36</f>
        <v>7.6952611668415286E-2</v>
      </c>
      <c r="E10" s="257" t="s">
        <v>945</v>
      </c>
      <c r="F10" s="67">
        <f>$C$10</f>
        <v>7.6952611668415286E-2</v>
      </c>
      <c r="G10" s="260">
        <f t="shared" si="0"/>
        <v>19489.488912577315</v>
      </c>
      <c r="H10" s="258">
        <f>G10*'Ciepło założenia'!C4</f>
        <v>5398.5884287839172</v>
      </c>
      <c r="I10" s="262">
        <v>0</v>
      </c>
      <c r="J10" s="263">
        <v>0</v>
      </c>
    </row>
    <row r="11" spans="2:12" ht="15.75" thickBot="1">
      <c r="B11" s="59"/>
      <c r="C11" s="63">
        <f>SUM(C5:C10)</f>
        <v>1.0000000000000002</v>
      </c>
      <c r="E11" s="62" t="s">
        <v>3</v>
      </c>
      <c r="F11" s="97"/>
      <c r="G11" s="62">
        <f>C23</f>
        <v>253266.11391120145</v>
      </c>
      <c r="H11" s="62">
        <f>SUM(H5:H10)</f>
        <v>70154.713553402806</v>
      </c>
      <c r="I11" s="55"/>
      <c r="J11" s="62">
        <f>SUM(J5:J9)</f>
        <v>19199.1558806754</v>
      </c>
      <c r="L11" s="13"/>
    </row>
    <row r="12" spans="2:12" ht="15.75" thickBot="1">
      <c r="D12" s="59"/>
      <c r="E12" s="59"/>
      <c r="F12" s="59"/>
      <c r="G12" s="59"/>
      <c r="H12" s="59"/>
      <c r="I12" s="59"/>
      <c r="J12" s="59"/>
      <c r="L12" s="13"/>
    </row>
    <row r="13" spans="2:12" ht="45.75" thickBot="1">
      <c r="B13" s="1132" t="s">
        <v>45</v>
      </c>
      <c r="C13" s="1133"/>
      <c r="E13" s="60">
        <v>2024</v>
      </c>
      <c r="F13" s="23" t="s">
        <v>43</v>
      </c>
      <c r="G13" s="35" t="s">
        <v>51</v>
      </c>
      <c r="H13" s="35" t="s">
        <v>215</v>
      </c>
      <c r="I13" s="35" t="s">
        <v>367</v>
      </c>
      <c r="J13" s="61" t="s">
        <v>8</v>
      </c>
      <c r="L13" s="13"/>
    </row>
    <row r="14" spans="2:12">
      <c r="B14" s="56" t="s">
        <v>209</v>
      </c>
      <c r="C14" s="64">
        <f>'Ciepło założenia'!C47</f>
        <v>8.0716080402010046E-2</v>
      </c>
      <c r="E14" s="52" t="s">
        <v>209</v>
      </c>
      <c r="F14" s="64">
        <f t="shared" ref="F14:F19" si="1">C14</f>
        <v>8.0716080402010046E-2</v>
      </c>
      <c r="G14" s="254">
        <f t="shared" ref="G14:G19" si="2">F14*$C$24</f>
        <v>23016.136555970781</v>
      </c>
      <c r="H14" s="65">
        <f>G14*'Ciepło założenia'!$C$4</f>
        <v>6375.4698260039067</v>
      </c>
      <c r="I14" s="128">
        <f t="shared" ref="I14:I19" si="3">I5</f>
        <v>0.09</v>
      </c>
      <c r="J14" s="259">
        <f>G14*I14</f>
        <v>2071.4522900373704</v>
      </c>
      <c r="L14" s="13"/>
    </row>
    <row r="15" spans="2:12">
      <c r="B15" s="57" t="s">
        <v>2</v>
      </c>
      <c r="C15" s="66">
        <f>'Ciepło założenia'!C44</f>
        <v>0.48209798994974873</v>
      </c>
      <c r="E15" s="53" t="s">
        <v>2</v>
      </c>
      <c r="F15" s="123">
        <f t="shared" si="1"/>
        <v>0.48209798994974873</v>
      </c>
      <c r="G15" s="255">
        <f t="shared" si="2"/>
        <v>137469.92067476711</v>
      </c>
      <c r="H15" s="124">
        <f>G15*'Ciepło założenia'!$C$4</f>
        <v>38079.168026910491</v>
      </c>
      <c r="I15" s="129">
        <f t="shared" si="3"/>
        <v>5.5820000000000002E-2</v>
      </c>
      <c r="J15" s="256">
        <f>G15*I15</f>
        <v>7673.5709720655004</v>
      </c>
      <c r="L15" s="13"/>
    </row>
    <row r="16" spans="2:12">
      <c r="B16" s="57" t="s">
        <v>91</v>
      </c>
      <c r="C16" s="66">
        <f>'Ciepło założenia'!C42</f>
        <v>0.20153652879783535</v>
      </c>
      <c r="E16" s="54" t="s">
        <v>91</v>
      </c>
      <c r="F16" s="123">
        <f t="shared" si="1"/>
        <v>0.20153652879783535</v>
      </c>
      <c r="G16" s="255">
        <f t="shared" si="2"/>
        <v>57468.006929035706</v>
      </c>
      <c r="H16" s="124">
        <f>G16*'Ciepło założenia'!$C$4</f>
        <v>15918.637919342891</v>
      </c>
      <c r="I16" s="129">
        <f t="shared" si="3"/>
        <v>9.4729999999999995E-2</v>
      </c>
      <c r="J16" s="256">
        <f>G16*I16</f>
        <v>5443.9442963875517</v>
      </c>
      <c r="L16" s="13"/>
    </row>
    <row r="17" spans="2:12">
      <c r="B17" s="57" t="s">
        <v>50</v>
      </c>
      <c r="C17" s="66">
        <f>'Ciepło założenia'!C45</f>
        <v>0.10599874371859297</v>
      </c>
      <c r="E17" s="53" t="s">
        <v>50</v>
      </c>
      <c r="F17" s="123">
        <f t="shared" si="1"/>
        <v>0.10599874371859297</v>
      </c>
      <c r="G17" s="255">
        <f t="shared" si="2"/>
        <v>30225.471158132837</v>
      </c>
      <c r="H17" s="124">
        <f>G17*'Ciepło założenia'!$C$4</f>
        <v>8372.4555108027962</v>
      </c>
      <c r="I17" s="129">
        <f t="shared" si="3"/>
        <v>0.22600000000000001</v>
      </c>
      <c r="J17" s="256">
        <f>G17*I17</f>
        <v>6830.9564817380215</v>
      </c>
      <c r="L17" s="13"/>
    </row>
    <row r="18" spans="2:12">
      <c r="B18" s="126" t="s">
        <v>44</v>
      </c>
      <c r="C18" s="127">
        <f>'Ciepło założenia'!C43</f>
        <v>8.3228643216080398E-3</v>
      </c>
      <c r="E18" s="53" t="s">
        <v>44</v>
      </c>
      <c r="F18" s="123">
        <f t="shared" si="1"/>
        <v>8.3228643216080398E-3</v>
      </c>
      <c r="G18" s="255">
        <f t="shared" si="2"/>
        <v>2373.2592168608003</v>
      </c>
      <c r="H18" s="124">
        <f>G18*'Ciepło założenia'!$C$4</f>
        <v>657.39280307044169</v>
      </c>
      <c r="I18" s="129">
        <f t="shared" si="3"/>
        <v>7.6590000000000005E-2</v>
      </c>
      <c r="J18" s="256">
        <f>G18*I18</f>
        <v>181.76792341936871</v>
      </c>
      <c r="L18" s="13"/>
    </row>
    <row r="19" spans="2:12" ht="15.75" thickBot="1">
      <c r="B19" s="58" t="s">
        <v>945</v>
      </c>
      <c r="C19" s="67">
        <f>'Ciepło założenia'!C46</f>
        <v>0.12132779281020488</v>
      </c>
      <c r="E19" s="257" t="s">
        <v>945</v>
      </c>
      <c r="F19" s="67">
        <f t="shared" si="1"/>
        <v>0.12132779281020488</v>
      </c>
      <c r="G19" s="260">
        <f t="shared" si="2"/>
        <v>34596.539294847433</v>
      </c>
      <c r="H19" s="124">
        <f>G19*'Ciepło założenia'!$C$4</f>
        <v>9583.2413846727395</v>
      </c>
      <c r="I19" s="262">
        <f t="shared" si="3"/>
        <v>0</v>
      </c>
      <c r="J19" s="263">
        <v>0</v>
      </c>
      <c r="L19" s="13"/>
    </row>
    <row r="20" spans="2:12" ht="15.75" thickBot="1">
      <c r="B20" s="59"/>
      <c r="C20" s="63">
        <f>SUM(C14:C19)</f>
        <v>1</v>
      </c>
      <c r="E20" s="62" t="s">
        <v>3</v>
      </c>
      <c r="F20" s="97"/>
      <c r="G20" s="62">
        <f>SUM(G14:G19)</f>
        <v>285149.33382961468</v>
      </c>
      <c r="H20" s="62">
        <f>SUM(H14:H19)</f>
        <v>78986.36547080327</v>
      </c>
      <c r="I20" s="55"/>
      <c r="J20" s="62">
        <f>SUM(J14:J18)</f>
        <v>22201.691963647809</v>
      </c>
      <c r="L20" s="13"/>
    </row>
    <row r="21" spans="2:12" ht="15.75" thickBot="1">
      <c r="G21" s="13"/>
    </row>
    <row r="22" spans="2:12" ht="44.25" customHeight="1">
      <c r="B22" s="1134" t="s">
        <v>46</v>
      </c>
      <c r="C22" s="1135"/>
      <c r="E22" s="60" t="s">
        <v>950</v>
      </c>
      <c r="F22" s="23" t="s">
        <v>43</v>
      </c>
      <c r="G22" s="35" t="s">
        <v>51</v>
      </c>
      <c r="H22" s="35" t="str">
        <f>H4</f>
        <v>Potrzeby cieplne zaspokajane z danego rodzaju paliwa [MWh]</v>
      </c>
      <c r="I22" s="35" t="str">
        <f>I4</f>
        <v>wskaźnik emisji [Mg CO2/GJ]</v>
      </c>
      <c r="J22" s="61" t="s">
        <v>8</v>
      </c>
    </row>
    <row r="23" spans="2:12" ht="30">
      <c r="B23" s="552" t="s">
        <v>86</v>
      </c>
      <c r="C23" s="553">
        <f>'Ciepło założenia'!D38</f>
        <v>253266.11391120145</v>
      </c>
      <c r="E23" s="53" t="str">
        <f>E5</f>
        <v>ciepło sieciowe</v>
      </c>
      <c r="F23" s="123">
        <f t="shared" ref="F23:F28" si="4">F14</f>
        <v>8.0716080402010046E-2</v>
      </c>
      <c r="G23" s="124">
        <f t="shared" ref="G23:G28" si="5">F23*$C$25</f>
        <v>24005.256243651969</v>
      </c>
      <c r="H23" s="124">
        <f>G23*'Ciepło założenia'!C4</f>
        <v>6649.4559794915958</v>
      </c>
      <c r="I23" s="129">
        <f>I5</f>
        <v>0.09</v>
      </c>
      <c r="J23" s="256">
        <f>G23*I23</f>
        <v>2160.473061928677</v>
      </c>
    </row>
    <row r="24" spans="2:12" ht="30">
      <c r="B24" s="550" t="s">
        <v>592</v>
      </c>
      <c r="C24" s="551">
        <f>C23/Charakterystyka_2028!G67*Charakterystyka_2028!Q67</f>
        <v>285149.33382961468</v>
      </c>
      <c r="E24" s="53" t="str">
        <f>B6</f>
        <v>gaz</v>
      </c>
      <c r="F24" s="123">
        <f t="shared" si="4"/>
        <v>0.48209798994974873</v>
      </c>
      <c r="G24" s="124">
        <f t="shared" si="5"/>
        <v>143377.69779768784</v>
      </c>
      <c r="H24" s="124">
        <f>G24*'Ciepło założenia'!C4</f>
        <v>39715.622289959538</v>
      </c>
      <c r="I24" s="129">
        <f>I6</f>
        <v>5.5820000000000002E-2</v>
      </c>
      <c r="J24" s="256">
        <f>G24*I24</f>
        <v>8003.3430910669358</v>
      </c>
    </row>
    <row r="25" spans="2:12" ht="30">
      <c r="B25" s="550" t="s">
        <v>951</v>
      </c>
      <c r="C25" s="551">
        <f>C23/Charakterystyka_2028!G67*Charakterystyka_2028!AH67</f>
        <v>297403.64155559486</v>
      </c>
      <c r="E25" s="54" t="s">
        <v>91</v>
      </c>
      <c r="F25" s="123">
        <f t="shared" si="4"/>
        <v>0.20153652879783535</v>
      </c>
      <c r="G25" s="124">
        <f t="shared" si="5"/>
        <v>59937.697570950244</v>
      </c>
      <c r="H25" s="124">
        <f>G25*'Ciepło założenia'!C4</f>
        <v>16602.74222715322</v>
      </c>
      <c r="I25" s="129">
        <f>I7</f>
        <v>9.4729999999999995E-2</v>
      </c>
      <c r="J25" s="256">
        <f>G25*I25</f>
        <v>5677.8980908961166</v>
      </c>
    </row>
    <row r="26" spans="2:12" ht="29.25" customHeight="1" thickBot="1">
      <c r="B26" s="554" t="s">
        <v>589</v>
      </c>
      <c r="C26" s="555">
        <f>C23/Charakterystyka_2028!G67</f>
        <v>0.6796244094049243</v>
      </c>
      <c r="E26" s="53" t="str">
        <f>B8</f>
        <v>en. elektryczna</v>
      </c>
      <c r="F26" s="123">
        <f t="shared" si="4"/>
        <v>0.10599874371859297</v>
      </c>
      <c r="G26" s="124">
        <f t="shared" si="5"/>
        <v>31524.412382227787</v>
      </c>
      <c r="H26" s="124">
        <f>G26*'Ciepło założenia'!C4</f>
        <v>8732.2622298770984</v>
      </c>
      <c r="I26" s="129">
        <f>I8</f>
        <v>0.22600000000000001</v>
      </c>
      <c r="J26" s="256">
        <f>G26*I26</f>
        <v>7124.5171983834798</v>
      </c>
    </row>
    <row r="27" spans="2:12" ht="33" customHeight="1" thickBot="1">
      <c r="B27" s="554" t="s">
        <v>942</v>
      </c>
      <c r="C27" s="555">
        <f>C24/Charakterystyka_2028!Q67</f>
        <v>0.6796244094049243</v>
      </c>
      <c r="E27" s="53" t="s">
        <v>44</v>
      </c>
      <c r="F27" s="123">
        <f t="shared" si="4"/>
        <v>8.3228643216080398E-3</v>
      </c>
      <c r="G27" s="124">
        <f t="shared" si="5"/>
        <v>2475.2501574193666</v>
      </c>
      <c r="H27" s="124">
        <f>G27*'Ciepło założenia'!C4</f>
        <v>685.64429360516465</v>
      </c>
      <c r="I27" s="129">
        <f>I9</f>
        <v>7.6590000000000005E-2</v>
      </c>
      <c r="J27" s="256">
        <f>G27*I27</f>
        <v>189.57940955674931</v>
      </c>
    </row>
    <row r="28" spans="2:12" ht="33" customHeight="1" thickBot="1">
      <c r="B28" s="554" t="s">
        <v>952</v>
      </c>
      <c r="C28" s="555">
        <f>C25/Charakterystyka_2028!AH67</f>
        <v>0.6796244094049243</v>
      </c>
      <c r="E28" s="257" t="s">
        <v>945</v>
      </c>
      <c r="F28" s="123">
        <f t="shared" si="4"/>
        <v>0.12132779281020488</v>
      </c>
      <c r="G28" s="124">
        <f t="shared" si="5"/>
        <v>36083.327403657655</v>
      </c>
      <c r="H28" s="258">
        <f>G28*'Ciepło założenia'!C4</f>
        <v>9995.081690813171</v>
      </c>
      <c r="I28" s="262">
        <v>0</v>
      </c>
      <c r="J28" s="263">
        <v>0</v>
      </c>
    </row>
    <row r="29" spans="2:12" ht="15.75" thickBot="1">
      <c r="E29" s="62" t="s">
        <v>3</v>
      </c>
      <c r="F29" s="97"/>
      <c r="G29" s="62">
        <f>SUM(G23:G28)</f>
        <v>297403.64155559486</v>
      </c>
      <c r="H29" s="62">
        <f>SUM(H23:H28)</f>
        <v>82380.808710899786</v>
      </c>
      <c r="I29" s="55"/>
      <c r="J29" s="62">
        <f>SUM(J23:J27)</f>
        <v>23155.81085183196</v>
      </c>
    </row>
    <row r="30" spans="2:12" ht="18.75">
      <c r="E30" s="122"/>
      <c r="F30" s="9"/>
      <c r="G30" s="9"/>
      <c r="H30" s="9"/>
      <c r="I30" s="9"/>
      <c r="J30" s="9"/>
    </row>
    <row r="34" ht="24.75" customHeight="1"/>
    <row r="35" ht="24.75" customHeight="1"/>
  </sheetData>
  <mergeCells count="3">
    <mergeCell ref="B4:C4"/>
    <mergeCell ref="B22:C22"/>
    <mergeCell ref="B13:C1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P126"/>
  <sheetViews>
    <sheetView topLeftCell="A46" zoomScale="85" zoomScaleNormal="85" workbookViewId="0">
      <selection activeCell="L129" sqref="L129"/>
    </sheetView>
  </sheetViews>
  <sheetFormatPr defaultRowHeight="14.25"/>
  <cols>
    <col min="1" max="1" width="2.125" customWidth="1"/>
    <col min="2" max="2" width="4" customWidth="1"/>
    <col min="3" max="3" width="21" customWidth="1"/>
    <col min="4" max="4" width="20" customWidth="1"/>
    <col min="5" max="5" width="10.625" customWidth="1"/>
    <col min="6" max="6" width="10.125" customWidth="1"/>
    <col min="16" max="16" width="31.125" customWidth="1"/>
    <col min="18" max="18" width="7.625" customWidth="1"/>
    <col min="19" max="19" width="12.75" customWidth="1"/>
  </cols>
  <sheetData>
    <row r="1" spans="2:16" ht="15" thickBot="1"/>
    <row r="2" spans="2:16" ht="19.5" thickBot="1">
      <c r="B2" s="10" t="s">
        <v>102</v>
      </c>
      <c r="C2" s="11"/>
      <c r="D2" s="11"/>
      <c r="E2" s="11"/>
      <c r="F2" s="11"/>
      <c r="G2" s="11"/>
      <c r="H2" s="11"/>
      <c r="I2" s="11"/>
      <c r="J2" s="11"/>
      <c r="K2" s="12"/>
      <c r="L2" s="10"/>
      <c r="M2" s="746"/>
      <c r="N2" s="11"/>
      <c r="O2" s="11"/>
      <c r="P2" s="11"/>
    </row>
    <row r="3" spans="2:16" ht="30" customHeight="1" thickBot="1">
      <c r="B3" s="675" t="s">
        <v>752</v>
      </c>
    </row>
    <row r="4" spans="2:16">
      <c r="B4" s="1100" t="s">
        <v>103</v>
      </c>
      <c r="C4" s="1102" t="s">
        <v>104</v>
      </c>
      <c r="D4" s="1104" t="s">
        <v>105</v>
      </c>
      <c r="E4" s="1095" t="s">
        <v>106</v>
      </c>
      <c r="F4" s="1095"/>
      <c r="G4" s="1095"/>
      <c r="H4" s="1106" t="s">
        <v>107</v>
      </c>
      <c r="I4" s="1107"/>
      <c r="J4" s="1107"/>
      <c r="K4" s="1107"/>
      <c r="L4" s="1108"/>
      <c r="M4" s="690"/>
      <c r="N4" s="1095" t="s">
        <v>109</v>
      </c>
      <c r="O4" s="1095"/>
      <c r="P4" s="1096" t="s">
        <v>100</v>
      </c>
    </row>
    <row r="5" spans="2:16" ht="39" thickBot="1">
      <c r="B5" s="1101"/>
      <c r="C5" s="1103"/>
      <c r="D5" s="1105"/>
      <c r="E5" s="98" t="s">
        <v>110</v>
      </c>
      <c r="F5" s="98" t="s">
        <v>111</v>
      </c>
      <c r="G5" s="98" t="s">
        <v>97</v>
      </c>
      <c r="H5" s="99" t="s">
        <v>112</v>
      </c>
      <c r="I5" s="99" t="s">
        <v>503</v>
      </c>
      <c r="J5" s="99" t="s">
        <v>553</v>
      </c>
      <c r="K5" s="99" t="s">
        <v>113</v>
      </c>
      <c r="L5" s="99" t="s">
        <v>114</v>
      </c>
      <c r="M5" s="747" t="s">
        <v>872</v>
      </c>
      <c r="N5" s="98" t="s">
        <v>98</v>
      </c>
      <c r="O5" s="98" t="s">
        <v>99</v>
      </c>
      <c r="P5" s="1097"/>
    </row>
    <row r="6" spans="2:16">
      <c r="B6" s="100">
        <v>1</v>
      </c>
      <c r="C6" s="101" t="s">
        <v>117</v>
      </c>
      <c r="D6" s="102" t="s">
        <v>93</v>
      </c>
      <c r="E6" s="101">
        <v>110</v>
      </c>
      <c r="F6" s="101">
        <v>2</v>
      </c>
      <c r="G6" s="101">
        <v>37</v>
      </c>
      <c r="H6" s="102"/>
      <c r="I6" s="102"/>
      <c r="J6" s="102">
        <v>2461</v>
      </c>
      <c r="K6" s="102"/>
      <c r="L6" s="102"/>
      <c r="M6" s="102"/>
      <c r="N6" s="101"/>
      <c r="O6" s="101" t="s">
        <v>115</v>
      </c>
      <c r="P6" s="103" t="s">
        <v>116</v>
      </c>
    </row>
    <row r="7" spans="2:16">
      <c r="B7" s="104">
        <v>2</v>
      </c>
      <c r="C7" s="105" t="s">
        <v>122</v>
      </c>
      <c r="D7" s="106" t="s">
        <v>93</v>
      </c>
      <c r="E7" s="105">
        <v>150</v>
      </c>
      <c r="F7" s="105">
        <v>2</v>
      </c>
      <c r="G7" s="105">
        <v>40</v>
      </c>
      <c r="H7" s="106"/>
      <c r="I7" s="106"/>
      <c r="J7" s="106">
        <v>2000</v>
      </c>
      <c r="K7" s="106"/>
      <c r="L7" s="106"/>
      <c r="M7" s="106"/>
      <c r="N7" s="105"/>
      <c r="O7" s="105" t="s">
        <v>115</v>
      </c>
      <c r="P7" s="107" t="s">
        <v>96</v>
      </c>
    </row>
    <row r="8" spans="2:16">
      <c r="B8" s="104">
        <v>3</v>
      </c>
      <c r="C8" s="105" t="s">
        <v>123</v>
      </c>
      <c r="D8" s="106" t="s">
        <v>93</v>
      </c>
      <c r="E8" s="105">
        <v>100</v>
      </c>
      <c r="F8" s="105">
        <v>1</v>
      </c>
      <c r="G8" s="105">
        <v>40</v>
      </c>
      <c r="H8" s="106"/>
      <c r="I8" s="106"/>
      <c r="J8" s="106">
        <v>1500</v>
      </c>
      <c r="K8" s="106"/>
      <c r="L8" s="106">
        <v>4</v>
      </c>
      <c r="M8" s="106"/>
      <c r="N8" s="105"/>
      <c r="O8" s="105" t="s">
        <v>115</v>
      </c>
      <c r="P8" s="107" t="s">
        <v>101</v>
      </c>
    </row>
    <row r="9" spans="2:16">
      <c r="B9" s="104">
        <v>4</v>
      </c>
      <c r="C9" s="105" t="s">
        <v>124</v>
      </c>
      <c r="D9" s="106" t="s">
        <v>93</v>
      </c>
      <c r="E9" s="105">
        <v>38</v>
      </c>
      <c r="F9" s="105">
        <v>1</v>
      </c>
      <c r="G9" s="105">
        <v>1990</v>
      </c>
      <c r="H9" s="106"/>
      <c r="I9" s="106"/>
      <c r="J9" s="106"/>
      <c r="K9" s="106">
        <v>70</v>
      </c>
      <c r="L9" s="106"/>
      <c r="M9" s="106"/>
      <c r="N9" s="105" t="s">
        <v>115</v>
      </c>
      <c r="O9" s="105"/>
      <c r="P9" s="107" t="s">
        <v>125</v>
      </c>
    </row>
    <row r="10" spans="2:16">
      <c r="B10" s="104">
        <v>5</v>
      </c>
      <c r="C10" s="105" t="s">
        <v>128</v>
      </c>
      <c r="D10" s="106" t="s">
        <v>93</v>
      </c>
      <c r="E10" s="105">
        <v>140</v>
      </c>
      <c r="F10" s="105">
        <v>3</v>
      </c>
      <c r="G10" s="105">
        <v>20</v>
      </c>
      <c r="H10" s="106"/>
      <c r="I10" s="106"/>
      <c r="J10" s="106"/>
      <c r="K10" s="106"/>
      <c r="L10" s="106">
        <v>20</v>
      </c>
      <c r="M10" s="106"/>
      <c r="N10" s="105" t="s">
        <v>115</v>
      </c>
      <c r="O10" s="105"/>
      <c r="P10" s="107" t="s">
        <v>96</v>
      </c>
    </row>
    <row r="11" spans="2:16">
      <c r="B11" s="104">
        <v>6</v>
      </c>
      <c r="C11" s="105" t="s">
        <v>129</v>
      </c>
      <c r="D11" s="106" t="s">
        <v>93</v>
      </c>
      <c r="E11" s="105">
        <v>140</v>
      </c>
      <c r="F11" s="105">
        <v>4</v>
      </c>
      <c r="G11" s="105">
        <v>42</v>
      </c>
      <c r="H11" s="106"/>
      <c r="I11" s="106"/>
      <c r="J11" s="106">
        <v>1700</v>
      </c>
      <c r="K11" s="106"/>
      <c r="L11" s="106"/>
      <c r="M11" s="106"/>
      <c r="N11" s="105" t="s">
        <v>115</v>
      </c>
      <c r="O11" s="105"/>
      <c r="P11" s="107" t="s">
        <v>96</v>
      </c>
    </row>
    <row r="12" spans="2:16">
      <c r="B12" s="104">
        <v>7</v>
      </c>
      <c r="C12" s="105" t="s">
        <v>130</v>
      </c>
      <c r="D12" s="106" t="s">
        <v>93</v>
      </c>
      <c r="E12" s="105">
        <v>250</v>
      </c>
      <c r="F12" s="105">
        <v>2</v>
      </c>
      <c r="G12" s="105">
        <v>50</v>
      </c>
      <c r="H12" s="106">
        <v>5</v>
      </c>
      <c r="I12" s="106">
        <f>1*Wskaźniki!C10</f>
        <v>3.5700000000000003E-2</v>
      </c>
      <c r="J12" s="106"/>
      <c r="K12" s="106"/>
      <c r="L12" s="106"/>
      <c r="M12" s="106"/>
      <c r="N12" s="105" t="s">
        <v>115</v>
      </c>
      <c r="O12" s="105"/>
      <c r="P12" s="107" t="s">
        <v>131</v>
      </c>
    </row>
    <row r="13" spans="2:16">
      <c r="B13" s="104">
        <v>8</v>
      </c>
      <c r="C13" s="105" t="s">
        <v>132</v>
      </c>
      <c r="D13" s="106" t="s">
        <v>93</v>
      </c>
      <c r="E13" s="105">
        <v>207</v>
      </c>
      <c r="F13" s="105">
        <v>3</v>
      </c>
      <c r="G13" s="105">
        <v>38</v>
      </c>
      <c r="H13" s="106"/>
      <c r="I13" s="106"/>
      <c r="J13" s="106">
        <v>2500</v>
      </c>
      <c r="K13" s="106"/>
      <c r="L13" s="106">
        <v>7</v>
      </c>
      <c r="M13" s="106"/>
      <c r="N13" s="105"/>
      <c r="O13" s="105" t="s">
        <v>115</v>
      </c>
      <c r="P13" s="107" t="s">
        <v>125</v>
      </c>
    </row>
    <row r="14" spans="2:16">
      <c r="B14" s="104">
        <v>13</v>
      </c>
      <c r="C14" s="105" t="s">
        <v>133</v>
      </c>
      <c r="D14" s="106" t="s">
        <v>95</v>
      </c>
      <c r="E14" s="105">
        <v>60</v>
      </c>
      <c r="F14" s="105">
        <v>3</v>
      </c>
      <c r="G14" s="105">
        <v>100</v>
      </c>
      <c r="H14" s="106">
        <v>2</v>
      </c>
      <c r="I14" s="106"/>
      <c r="J14" s="106"/>
      <c r="K14" s="106"/>
      <c r="L14" s="106" t="s">
        <v>115</v>
      </c>
      <c r="M14" s="106"/>
      <c r="N14" s="105"/>
      <c r="O14" s="105" t="s">
        <v>115</v>
      </c>
      <c r="P14" s="107" t="s">
        <v>134</v>
      </c>
    </row>
    <row r="15" spans="2:16">
      <c r="B15" s="104">
        <v>18</v>
      </c>
      <c r="C15" s="105" t="s">
        <v>135</v>
      </c>
      <c r="D15" s="106" t="s">
        <v>93</v>
      </c>
      <c r="E15" s="105">
        <v>190</v>
      </c>
      <c r="F15" s="105">
        <v>5</v>
      </c>
      <c r="G15" s="105">
        <v>25</v>
      </c>
      <c r="H15" s="106"/>
      <c r="I15" s="106"/>
      <c r="J15" s="106">
        <v>2100</v>
      </c>
      <c r="K15" s="106"/>
      <c r="L15" s="106"/>
      <c r="M15" s="106"/>
      <c r="N15" s="105"/>
      <c r="O15" s="105" t="s">
        <v>115</v>
      </c>
      <c r="P15" s="107" t="s">
        <v>94</v>
      </c>
    </row>
    <row r="16" spans="2:16">
      <c r="B16" s="104">
        <v>19</v>
      </c>
      <c r="C16" s="105" t="s">
        <v>136</v>
      </c>
      <c r="D16" s="106" t="s">
        <v>93</v>
      </c>
      <c r="E16" s="105">
        <v>100</v>
      </c>
      <c r="F16" s="105">
        <v>5</v>
      </c>
      <c r="G16" s="105">
        <v>45</v>
      </c>
      <c r="H16" s="106">
        <v>8</v>
      </c>
      <c r="I16" s="106"/>
      <c r="J16" s="106"/>
      <c r="K16" s="106"/>
      <c r="L16" s="106"/>
      <c r="M16" s="106"/>
      <c r="N16" s="105" t="s">
        <v>115</v>
      </c>
      <c r="O16" s="105"/>
      <c r="P16" s="107" t="s">
        <v>101</v>
      </c>
    </row>
    <row r="17" spans="2:16">
      <c r="B17" s="104">
        <v>20</v>
      </c>
      <c r="C17" s="105" t="s">
        <v>137</v>
      </c>
      <c r="D17" s="106" t="s">
        <v>95</v>
      </c>
      <c r="E17" s="105">
        <v>54</v>
      </c>
      <c r="F17" s="105">
        <v>7</v>
      </c>
      <c r="G17" s="105">
        <v>80</v>
      </c>
      <c r="H17" s="106">
        <v>8</v>
      </c>
      <c r="I17" s="106"/>
      <c r="J17" s="106"/>
      <c r="K17" s="106"/>
      <c r="L17" s="106">
        <v>8</v>
      </c>
      <c r="M17" s="106"/>
      <c r="N17" s="105" t="s">
        <v>115</v>
      </c>
      <c r="O17" s="105"/>
      <c r="P17" s="107" t="s">
        <v>101</v>
      </c>
    </row>
    <row r="18" spans="2:16">
      <c r="B18" s="104">
        <v>21</v>
      </c>
      <c r="C18" s="105" t="s">
        <v>138</v>
      </c>
      <c r="D18" s="106" t="s">
        <v>93</v>
      </c>
      <c r="E18" s="105">
        <v>120</v>
      </c>
      <c r="F18" s="105">
        <v>3</v>
      </c>
      <c r="G18" s="105">
        <v>55</v>
      </c>
      <c r="H18" s="106"/>
      <c r="I18" s="106"/>
      <c r="J18" s="106">
        <v>2230</v>
      </c>
      <c r="K18" s="106"/>
      <c r="L18" s="106"/>
      <c r="M18" s="106"/>
      <c r="N18" s="105"/>
      <c r="O18" s="105" t="s">
        <v>115</v>
      </c>
      <c r="P18" s="107" t="s">
        <v>139</v>
      </c>
    </row>
    <row r="19" spans="2:16">
      <c r="B19" s="104">
        <v>26</v>
      </c>
      <c r="C19" s="105"/>
      <c r="D19" s="106" t="s">
        <v>93</v>
      </c>
      <c r="E19" s="105">
        <v>98</v>
      </c>
      <c r="F19" s="105">
        <v>4</v>
      </c>
      <c r="G19" s="105">
        <v>25</v>
      </c>
      <c r="H19" s="106">
        <v>3</v>
      </c>
      <c r="I19" s="106"/>
      <c r="J19" s="106"/>
      <c r="K19" s="106"/>
      <c r="L19" s="106">
        <v>6</v>
      </c>
      <c r="M19" s="106"/>
      <c r="N19" s="105"/>
      <c r="O19" s="105"/>
      <c r="P19" s="107" t="s">
        <v>101</v>
      </c>
    </row>
    <row r="20" spans="2:16">
      <c r="B20" s="104">
        <v>27</v>
      </c>
      <c r="C20" s="105" t="s">
        <v>141</v>
      </c>
      <c r="D20" s="106" t="s">
        <v>93</v>
      </c>
      <c r="E20" s="105">
        <v>70</v>
      </c>
      <c r="F20" s="105">
        <v>4</v>
      </c>
      <c r="G20" s="105">
        <v>20</v>
      </c>
      <c r="H20" s="106">
        <v>2</v>
      </c>
      <c r="I20" s="106"/>
      <c r="J20" s="106"/>
      <c r="K20" s="106"/>
      <c r="L20" s="106">
        <v>3</v>
      </c>
      <c r="M20" s="106"/>
      <c r="N20" s="105"/>
      <c r="O20" s="105" t="s">
        <v>115</v>
      </c>
      <c r="P20" s="107" t="s">
        <v>101</v>
      </c>
    </row>
    <row r="21" spans="2:16">
      <c r="B21" s="104">
        <v>36</v>
      </c>
      <c r="C21" s="105" t="s">
        <v>143</v>
      </c>
      <c r="D21" s="106" t="s">
        <v>95</v>
      </c>
      <c r="E21" s="105">
        <v>81</v>
      </c>
      <c r="F21" s="105">
        <v>5</v>
      </c>
      <c r="G21" s="105">
        <v>106</v>
      </c>
      <c r="H21" s="106">
        <v>3</v>
      </c>
      <c r="I21" s="106"/>
      <c r="J21" s="106"/>
      <c r="K21" s="106"/>
      <c r="L21" s="106"/>
      <c r="M21" s="106"/>
      <c r="N21" s="105" t="s">
        <v>115</v>
      </c>
      <c r="O21" s="105"/>
      <c r="P21" s="107"/>
    </row>
    <row r="22" spans="2:16">
      <c r="B22" s="104">
        <v>41</v>
      </c>
      <c r="C22" s="105" t="s">
        <v>144</v>
      </c>
      <c r="D22" s="106" t="s">
        <v>93</v>
      </c>
      <c r="E22" s="105">
        <v>165</v>
      </c>
      <c r="F22" s="105">
        <v>5</v>
      </c>
      <c r="G22" s="105">
        <v>1</v>
      </c>
      <c r="H22" s="106">
        <v>5</v>
      </c>
      <c r="I22" s="106"/>
      <c r="J22" s="106"/>
      <c r="K22" s="106"/>
      <c r="L22" s="106"/>
      <c r="M22" s="106"/>
      <c r="N22" s="105"/>
      <c r="O22" s="105" t="s">
        <v>115</v>
      </c>
      <c r="P22" s="107" t="s">
        <v>94</v>
      </c>
    </row>
    <row r="23" spans="2:16">
      <c r="B23" s="104">
        <v>42</v>
      </c>
      <c r="C23" s="105" t="s">
        <v>145</v>
      </c>
      <c r="D23" s="106" t="s">
        <v>93</v>
      </c>
      <c r="E23" s="105">
        <v>180</v>
      </c>
      <c r="F23" s="105">
        <v>4</v>
      </c>
      <c r="G23" s="105">
        <v>17</v>
      </c>
      <c r="H23" s="106">
        <v>3</v>
      </c>
      <c r="I23" s="106"/>
      <c r="J23" s="106"/>
      <c r="K23" s="106"/>
      <c r="L23" s="106"/>
      <c r="M23" s="106"/>
      <c r="N23" s="105" t="s">
        <v>115</v>
      </c>
      <c r="O23" s="105"/>
      <c r="P23" s="107" t="s">
        <v>134</v>
      </c>
    </row>
    <row r="24" spans="2:16">
      <c r="B24" s="104">
        <v>47</v>
      </c>
      <c r="C24" s="105"/>
      <c r="D24" s="106" t="s">
        <v>93</v>
      </c>
      <c r="E24" s="105">
        <v>133</v>
      </c>
      <c r="F24" s="105">
        <v>3</v>
      </c>
      <c r="G24" s="105">
        <v>30</v>
      </c>
      <c r="H24" s="106">
        <v>5</v>
      </c>
      <c r="I24" s="106"/>
      <c r="J24" s="106"/>
      <c r="K24" s="106"/>
      <c r="L24" s="106"/>
      <c r="M24" s="106"/>
      <c r="N24" s="105"/>
      <c r="O24" s="105" t="s">
        <v>115</v>
      </c>
      <c r="P24" s="107" t="s">
        <v>101</v>
      </c>
    </row>
    <row r="25" spans="2:16">
      <c r="B25" s="104">
        <v>49</v>
      </c>
      <c r="C25" s="105" t="s">
        <v>146</v>
      </c>
      <c r="D25" s="106" t="s">
        <v>93</v>
      </c>
      <c r="E25" s="105">
        <v>100</v>
      </c>
      <c r="F25" s="105">
        <v>5</v>
      </c>
      <c r="G25" s="105">
        <v>30</v>
      </c>
      <c r="H25" s="106">
        <v>4</v>
      </c>
      <c r="I25" s="106"/>
      <c r="J25" s="106"/>
      <c r="K25" s="106"/>
      <c r="L25" s="106"/>
      <c r="M25" s="106"/>
      <c r="N25" s="105"/>
      <c r="O25" s="105" t="s">
        <v>115</v>
      </c>
      <c r="P25" s="107" t="s">
        <v>101</v>
      </c>
    </row>
    <row r="26" spans="2:16">
      <c r="B26" s="104">
        <v>54</v>
      </c>
      <c r="C26" s="105" t="s">
        <v>149</v>
      </c>
      <c r="D26" s="106" t="s">
        <v>93</v>
      </c>
      <c r="E26" s="105">
        <v>350</v>
      </c>
      <c r="F26" s="105">
        <v>9</v>
      </c>
      <c r="G26" s="105">
        <v>30</v>
      </c>
      <c r="H26" s="106">
        <v>5</v>
      </c>
      <c r="I26" s="106"/>
      <c r="J26" s="106"/>
      <c r="K26" s="106"/>
      <c r="L26" s="106"/>
      <c r="M26" s="106"/>
      <c r="N26" s="105"/>
      <c r="O26" s="105" t="s">
        <v>115</v>
      </c>
      <c r="P26" s="107" t="s">
        <v>150</v>
      </c>
    </row>
    <row r="27" spans="2:16">
      <c r="B27" s="104">
        <v>57</v>
      </c>
      <c r="C27" s="105"/>
      <c r="D27" s="106" t="s">
        <v>93</v>
      </c>
      <c r="E27" s="105">
        <v>120</v>
      </c>
      <c r="F27" s="105">
        <v>4</v>
      </c>
      <c r="G27" s="105">
        <v>30</v>
      </c>
      <c r="H27" s="106">
        <v>2</v>
      </c>
      <c r="I27" s="106"/>
      <c r="J27" s="106"/>
      <c r="K27" s="106"/>
      <c r="L27" s="106"/>
      <c r="M27" s="106"/>
      <c r="N27" s="105"/>
      <c r="O27" s="105" t="s">
        <v>115</v>
      </c>
      <c r="P27" s="107" t="s">
        <v>101</v>
      </c>
    </row>
    <row r="28" spans="2:16">
      <c r="B28" s="104">
        <v>64</v>
      </c>
      <c r="C28" s="105"/>
      <c r="D28" s="106" t="s">
        <v>93</v>
      </c>
      <c r="E28" s="105">
        <v>147</v>
      </c>
      <c r="F28" s="105">
        <v>4</v>
      </c>
      <c r="G28" s="105">
        <v>7</v>
      </c>
      <c r="H28" s="106">
        <v>6</v>
      </c>
      <c r="I28" s="106"/>
      <c r="J28" s="106"/>
      <c r="K28" s="106"/>
      <c r="L28" s="106"/>
      <c r="M28" s="106"/>
      <c r="N28" s="105"/>
      <c r="O28" s="105" t="s">
        <v>115</v>
      </c>
      <c r="P28" s="107" t="s">
        <v>96</v>
      </c>
    </row>
    <row r="29" spans="2:16">
      <c r="B29" s="104">
        <v>65</v>
      </c>
      <c r="C29" s="105" t="s">
        <v>151</v>
      </c>
      <c r="D29" s="106" t="s">
        <v>93</v>
      </c>
      <c r="E29" s="105">
        <v>135</v>
      </c>
      <c r="F29" s="105">
        <v>4</v>
      </c>
      <c r="G29" s="105">
        <v>6</v>
      </c>
      <c r="H29" s="106">
        <v>4</v>
      </c>
      <c r="I29" s="106"/>
      <c r="J29" s="106"/>
      <c r="K29" s="106"/>
      <c r="L29" s="106"/>
      <c r="M29" s="106"/>
      <c r="N29" s="105" t="s">
        <v>115</v>
      </c>
      <c r="O29" s="105"/>
      <c r="P29" s="107" t="s">
        <v>2</v>
      </c>
    </row>
    <row r="30" spans="2:16">
      <c r="B30" s="108">
        <v>70</v>
      </c>
      <c r="C30" s="105" t="s">
        <v>152</v>
      </c>
      <c r="D30" s="109" t="s">
        <v>93</v>
      </c>
      <c r="E30" s="110">
        <v>120</v>
      </c>
      <c r="F30" s="110">
        <v>4</v>
      </c>
      <c r="G30" s="110">
        <v>60</v>
      </c>
      <c r="H30" s="109">
        <v>4</v>
      </c>
      <c r="I30" s="109"/>
      <c r="J30" s="109"/>
      <c r="K30" s="109"/>
      <c r="L30" s="109" t="s">
        <v>115</v>
      </c>
      <c r="M30" s="109"/>
      <c r="N30" s="110"/>
      <c r="O30" s="110" t="s">
        <v>115</v>
      </c>
      <c r="P30" s="111" t="s">
        <v>101</v>
      </c>
    </row>
    <row r="31" spans="2:16">
      <c r="B31" s="108">
        <v>74</v>
      </c>
      <c r="C31" s="110"/>
      <c r="D31" s="109" t="s">
        <v>93</v>
      </c>
      <c r="E31" s="110">
        <v>160</v>
      </c>
      <c r="F31" s="110">
        <v>4</v>
      </c>
      <c r="G31" s="110">
        <v>4</v>
      </c>
      <c r="H31" s="109"/>
      <c r="I31" s="109"/>
      <c r="J31" s="109">
        <v>1500</v>
      </c>
      <c r="K31" s="109"/>
      <c r="L31" s="109"/>
      <c r="M31" s="109"/>
      <c r="N31" s="110"/>
      <c r="O31" s="110" t="s">
        <v>115</v>
      </c>
      <c r="P31" s="111" t="s">
        <v>94</v>
      </c>
    </row>
    <row r="32" spans="2:16">
      <c r="B32" s="108">
        <v>75</v>
      </c>
      <c r="C32" s="110" t="s">
        <v>153</v>
      </c>
      <c r="D32" s="109" t="s">
        <v>95</v>
      </c>
      <c r="E32" s="110">
        <v>534.54999999999995</v>
      </c>
      <c r="F32" s="110">
        <v>15</v>
      </c>
      <c r="G32" s="110">
        <v>28</v>
      </c>
      <c r="H32" s="109"/>
      <c r="I32" s="109"/>
      <c r="J32" s="109">
        <v>88576</v>
      </c>
      <c r="K32" s="109"/>
      <c r="L32" s="109"/>
      <c r="M32" s="109"/>
      <c r="N32" s="110"/>
      <c r="O32" s="110" t="s">
        <v>115</v>
      </c>
      <c r="P32" s="111" t="s">
        <v>125</v>
      </c>
    </row>
    <row r="33" spans="2:16">
      <c r="B33" s="108">
        <v>76</v>
      </c>
      <c r="C33" s="110" t="s">
        <v>142</v>
      </c>
      <c r="D33" s="109" t="s">
        <v>93</v>
      </c>
      <c r="E33" s="110">
        <v>60</v>
      </c>
      <c r="F33" s="110">
        <v>5</v>
      </c>
      <c r="G33" s="110">
        <v>80</v>
      </c>
      <c r="H33" s="109"/>
      <c r="I33" s="109"/>
      <c r="J33" s="109"/>
      <c r="K33" s="109"/>
      <c r="L33" s="109">
        <v>5</v>
      </c>
      <c r="M33" s="109"/>
      <c r="N33" s="110"/>
      <c r="O33" s="110" t="s">
        <v>115</v>
      </c>
      <c r="P33" s="111"/>
    </row>
    <row r="34" spans="2:16">
      <c r="B34" s="108">
        <v>77</v>
      </c>
      <c r="C34" s="110"/>
      <c r="D34" s="109" t="s">
        <v>93</v>
      </c>
      <c r="E34" s="110">
        <v>60</v>
      </c>
      <c r="F34" s="110">
        <v>6</v>
      </c>
      <c r="G34" s="110">
        <v>30</v>
      </c>
      <c r="H34" s="109">
        <v>5</v>
      </c>
      <c r="I34" s="109"/>
      <c r="J34" s="109"/>
      <c r="K34" s="109"/>
      <c r="L34" s="109"/>
      <c r="M34" s="109"/>
      <c r="N34" s="110"/>
      <c r="O34" s="110" t="s">
        <v>115</v>
      </c>
      <c r="P34" s="111"/>
    </row>
    <row r="35" spans="2:16">
      <c r="B35" s="108">
        <v>79</v>
      </c>
      <c r="C35" s="110" t="s">
        <v>154</v>
      </c>
      <c r="D35" s="109" t="s">
        <v>95</v>
      </c>
      <c r="E35" s="110">
        <v>62</v>
      </c>
      <c r="F35" s="110">
        <v>4</v>
      </c>
      <c r="G35" s="110">
        <v>100</v>
      </c>
      <c r="H35" s="109">
        <v>3</v>
      </c>
      <c r="I35" s="109"/>
      <c r="J35" s="109"/>
      <c r="K35" s="109"/>
      <c r="L35" s="109"/>
      <c r="M35" s="109"/>
      <c r="N35" s="110"/>
      <c r="O35" s="110" t="s">
        <v>115</v>
      </c>
      <c r="P35" s="111" t="s">
        <v>101</v>
      </c>
    </row>
    <row r="36" spans="2:16">
      <c r="B36" s="108">
        <v>81</v>
      </c>
      <c r="C36" s="110" t="s">
        <v>155</v>
      </c>
      <c r="D36" s="109" t="s">
        <v>93</v>
      </c>
      <c r="E36" s="110">
        <v>240</v>
      </c>
      <c r="F36" s="110">
        <v>10</v>
      </c>
      <c r="G36" s="110">
        <v>5</v>
      </c>
      <c r="H36" s="109">
        <v>7</v>
      </c>
      <c r="I36" s="109"/>
      <c r="J36" s="109"/>
      <c r="K36" s="109"/>
      <c r="L36" s="109"/>
      <c r="M36" s="109"/>
      <c r="N36" s="110" t="s">
        <v>115</v>
      </c>
      <c r="O36" s="110"/>
      <c r="P36" s="111" t="s">
        <v>94</v>
      </c>
    </row>
    <row r="37" spans="2:16">
      <c r="B37" s="108">
        <v>82</v>
      </c>
      <c r="C37" s="110"/>
      <c r="D37" s="109" t="s">
        <v>93</v>
      </c>
      <c r="E37" s="110">
        <v>200</v>
      </c>
      <c r="F37" s="110">
        <v>5</v>
      </c>
      <c r="G37" s="110">
        <v>19</v>
      </c>
      <c r="H37" s="109"/>
      <c r="I37" s="109"/>
      <c r="J37" s="109">
        <v>3200</v>
      </c>
      <c r="K37" s="109"/>
      <c r="L37" s="109"/>
      <c r="M37" s="109"/>
      <c r="N37" s="110"/>
      <c r="O37" s="110" t="s">
        <v>115</v>
      </c>
      <c r="P37" s="111" t="s">
        <v>101</v>
      </c>
    </row>
    <row r="38" spans="2:16">
      <c r="B38" s="108">
        <v>84</v>
      </c>
      <c r="C38" s="110" t="s">
        <v>156</v>
      </c>
      <c r="D38" s="109" t="s">
        <v>93</v>
      </c>
      <c r="E38" s="110">
        <v>135</v>
      </c>
      <c r="F38" s="110">
        <v>3</v>
      </c>
      <c r="G38" s="110">
        <v>5</v>
      </c>
      <c r="H38" s="109">
        <v>3.5</v>
      </c>
      <c r="I38" s="109"/>
      <c r="J38" s="109"/>
      <c r="K38" s="109"/>
      <c r="L38" s="109"/>
      <c r="M38" s="109"/>
      <c r="N38" s="110"/>
      <c r="O38" s="110" t="s">
        <v>115</v>
      </c>
      <c r="P38" s="111" t="s">
        <v>101</v>
      </c>
    </row>
    <row r="39" spans="2:16">
      <c r="B39" s="108">
        <v>88</v>
      </c>
      <c r="C39" s="110" t="s">
        <v>157</v>
      </c>
      <c r="D39" s="109" t="s">
        <v>93</v>
      </c>
      <c r="E39" s="110">
        <v>150</v>
      </c>
      <c r="F39" s="110">
        <v>5</v>
      </c>
      <c r="G39" s="110">
        <v>55</v>
      </c>
      <c r="H39" s="109"/>
      <c r="I39" s="109"/>
      <c r="J39" s="109">
        <v>1000</v>
      </c>
      <c r="K39" s="109"/>
      <c r="L39" s="109"/>
      <c r="M39" s="109"/>
      <c r="N39" s="110" t="s">
        <v>115</v>
      </c>
      <c r="O39" s="110"/>
      <c r="P39" s="111" t="s">
        <v>134</v>
      </c>
    </row>
    <row r="40" spans="2:16">
      <c r="B40" s="108">
        <v>89</v>
      </c>
      <c r="C40" s="110" t="s">
        <v>158</v>
      </c>
      <c r="D40" s="109" t="s">
        <v>93</v>
      </c>
      <c r="E40" s="110">
        <v>120</v>
      </c>
      <c r="F40" s="110">
        <v>3</v>
      </c>
      <c r="G40" s="110">
        <v>40</v>
      </c>
      <c r="H40" s="109"/>
      <c r="I40" s="109"/>
      <c r="J40" s="109">
        <v>2600</v>
      </c>
      <c r="K40" s="109"/>
      <c r="L40" s="109"/>
      <c r="M40" s="109"/>
      <c r="N40" s="110"/>
      <c r="O40" s="110" t="s">
        <v>115</v>
      </c>
      <c r="P40" s="111" t="s">
        <v>101</v>
      </c>
    </row>
    <row r="41" spans="2:16">
      <c r="B41" s="108">
        <v>90</v>
      </c>
      <c r="C41" s="110" t="s">
        <v>159</v>
      </c>
      <c r="D41" s="109" t="s">
        <v>93</v>
      </c>
      <c r="E41" s="110">
        <v>98</v>
      </c>
      <c r="F41" s="110">
        <v>4</v>
      </c>
      <c r="G41" s="110">
        <v>12</v>
      </c>
      <c r="H41" s="109"/>
      <c r="I41" s="109"/>
      <c r="J41" s="109">
        <v>1500</v>
      </c>
      <c r="K41" s="109"/>
      <c r="L41" s="109"/>
      <c r="M41" s="109"/>
      <c r="N41" s="110" t="s">
        <v>115</v>
      </c>
      <c r="O41" s="110"/>
      <c r="P41" s="111" t="s">
        <v>96</v>
      </c>
    </row>
    <row r="42" spans="2:16">
      <c r="B42" s="108">
        <v>91</v>
      </c>
      <c r="C42" s="110"/>
      <c r="D42" s="109" t="s">
        <v>93</v>
      </c>
      <c r="E42" s="110">
        <v>200</v>
      </c>
      <c r="F42" s="110">
        <v>4</v>
      </c>
      <c r="G42" s="110">
        <v>4</v>
      </c>
      <c r="H42" s="109">
        <v>3</v>
      </c>
      <c r="I42" s="109"/>
      <c r="J42" s="109"/>
      <c r="K42" s="109"/>
      <c r="L42" s="109"/>
      <c r="M42" s="109"/>
      <c r="N42" s="110"/>
      <c r="O42" s="110" t="s">
        <v>115</v>
      </c>
      <c r="P42" s="107" t="s">
        <v>134</v>
      </c>
    </row>
    <row r="43" spans="2:16">
      <c r="B43" s="108">
        <v>98</v>
      </c>
      <c r="C43" s="110"/>
      <c r="D43" s="109" t="s">
        <v>93</v>
      </c>
      <c r="E43" s="110">
        <v>222</v>
      </c>
      <c r="F43" s="110">
        <v>6</v>
      </c>
      <c r="G43" s="110">
        <v>20</v>
      </c>
      <c r="H43" s="109">
        <v>5</v>
      </c>
      <c r="I43" s="109"/>
      <c r="J43" s="109"/>
      <c r="K43" s="109"/>
      <c r="L43" s="109"/>
      <c r="M43" s="109"/>
      <c r="N43" s="110"/>
      <c r="O43" s="110" t="s">
        <v>115</v>
      </c>
      <c r="P43" s="111" t="s">
        <v>94</v>
      </c>
    </row>
    <row r="44" spans="2:16">
      <c r="B44" s="108">
        <v>99</v>
      </c>
      <c r="C44" s="110"/>
      <c r="D44" s="109" t="s">
        <v>93</v>
      </c>
      <c r="E44" s="110">
        <v>106</v>
      </c>
      <c r="F44" s="110">
        <v>4</v>
      </c>
      <c r="G44" s="110">
        <v>45</v>
      </c>
      <c r="H44" s="109"/>
      <c r="I44" s="109"/>
      <c r="J44" s="109">
        <v>4000</v>
      </c>
      <c r="K44" s="109"/>
      <c r="L44" s="109"/>
      <c r="M44" s="109"/>
      <c r="N44" s="110"/>
      <c r="O44" s="110" t="s">
        <v>115</v>
      </c>
      <c r="P44" s="111" t="s">
        <v>101</v>
      </c>
    </row>
    <row r="45" spans="2:16">
      <c r="B45" s="108">
        <v>111</v>
      </c>
      <c r="C45" s="110" t="s">
        <v>160</v>
      </c>
      <c r="D45" s="109" t="s">
        <v>93</v>
      </c>
      <c r="E45" s="110">
        <v>74</v>
      </c>
      <c r="F45" s="110">
        <v>2</v>
      </c>
      <c r="G45" s="110">
        <v>80</v>
      </c>
      <c r="H45" s="109"/>
      <c r="I45" s="109"/>
      <c r="J45" s="109">
        <v>12500</v>
      </c>
      <c r="K45" s="109"/>
      <c r="L45" s="109"/>
      <c r="M45" s="109"/>
      <c r="N45" s="110"/>
      <c r="O45" s="110" t="s">
        <v>115</v>
      </c>
      <c r="P45" s="111" t="s">
        <v>101</v>
      </c>
    </row>
    <row r="46" spans="2:16">
      <c r="B46" s="108">
        <v>112</v>
      </c>
      <c r="C46" s="110" t="s">
        <v>161</v>
      </c>
      <c r="D46" s="109" t="s">
        <v>93</v>
      </c>
      <c r="E46" s="110">
        <v>120</v>
      </c>
      <c r="F46" s="110">
        <v>3</v>
      </c>
      <c r="G46" s="110">
        <v>45</v>
      </c>
      <c r="H46" s="109"/>
      <c r="I46" s="109"/>
      <c r="J46" s="109">
        <v>2230</v>
      </c>
      <c r="K46" s="109"/>
      <c r="L46" s="109"/>
      <c r="M46" s="109"/>
      <c r="N46" s="110" t="s">
        <v>115</v>
      </c>
      <c r="O46" s="110"/>
      <c r="P46" s="111" t="s">
        <v>94</v>
      </c>
    </row>
    <row r="47" spans="2:16">
      <c r="B47" s="108">
        <v>113</v>
      </c>
      <c r="C47" s="110" t="s">
        <v>162</v>
      </c>
      <c r="D47" s="109" t="s">
        <v>93</v>
      </c>
      <c r="E47" s="110">
        <v>108</v>
      </c>
      <c r="F47" s="110">
        <v>2</v>
      </c>
      <c r="G47" s="110">
        <v>43</v>
      </c>
      <c r="H47" s="109"/>
      <c r="I47" s="109"/>
      <c r="J47" s="109">
        <v>1500</v>
      </c>
      <c r="K47" s="109"/>
      <c r="L47" s="109"/>
      <c r="M47" s="109"/>
      <c r="N47" s="110"/>
      <c r="O47" s="110" t="s">
        <v>115</v>
      </c>
      <c r="P47" s="111" t="s">
        <v>101</v>
      </c>
    </row>
    <row r="48" spans="2:16">
      <c r="B48" s="108">
        <v>114</v>
      </c>
      <c r="C48" s="110" t="s">
        <v>163</v>
      </c>
      <c r="D48" s="109" t="s">
        <v>93</v>
      </c>
      <c r="E48" s="110">
        <v>200</v>
      </c>
      <c r="F48" s="110">
        <v>5</v>
      </c>
      <c r="G48" s="110">
        <v>20</v>
      </c>
      <c r="H48" s="109">
        <v>6</v>
      </c>
      <c r="I48" s="109"/>
      <c r="J48" s="109"/>
      <c r="K48" s="109"/>
      <c r="L48" s="109" t="s">
        <v>115</v>
      </c>
      <c r="M48" s="109"/>
      <c r="N48" s="110"/>
      <c r="O48" s="110" t="s">
        <v>115</v>
      </c>
      <c r="P48" s="111" t="s">
        <v>101</v>
      </c>
    </row>
    <row r="49" spans="2:16">
      <c r="B49" s="108">
        <v>118</v>
      </c>
      <c r="C49" s="110" t="s">
        <v>164</v>
      </c>
      <c r="D49" s="109" t="s">
        <v>93</v>
      </c>
      <c r="E49" s="110">
        <v>110</v>
      </c>
      <c r="F49" s="110">
        <v>2</v>
      </c>
      <c r="G49" s="110">
        <v>55</v>
      </c>
      <c r="H49" s="109"/>
      <c r="I49" s="109"/>
      <c r="J49" s="109">
        <v>3200</v>
      </c>
      <c r="K49" s="109"/>
      <c r="L49" s="109"/>
      <c r="M49" s="109"/>
      <c r="N49" s="110"/>
      <c r="O49" s="110" t="s">
        <v>115</v>
      </c>
      <c r="P49" s="111" t="s">
        <v>101</v>
      </c>
    </row>
    <row r="50" spans="2:16">
      <c r="B50" s="108">
        <v>119</v>
      </c>
      <c r="C50" s="110" t="s">
        <v>165</v>
      </c>
      <c r="D50" s="109" t="s">
        <v>93</v>
      </c>
      <c r="E50" s="110">
        <v>125</v>
      </c>
      <c r="F50" s="110">
        <v>5</v>
      </c>
      <c r="G50" s="110">
        <v>36</v>
      </c>
      <c r="H50" s="109">
        <v>4</v>
      </c>
      <c r="I50" s="109"/>
      <c r="J50" s="109"/>
      <c r="K50" s="109"/>
      <c r="L50" s="109"/>
      <c r="M50" s="109"/>
      <c r="N50" s="110"/>
      <c r="O50" s="110" t="s">
        <v>115</v>
      </c>
      <c r="P50" s="111"/>
    </row>
    <row r="51" spans="2:16">
      <c r="B51" s="108">
        <v>120</v>
      </c>
      <c r="C51" s="110" t="s">
        <v>166</v>
      </c>
      <c r="D51" s="109" t="s">
        <v>95</v>
      </c>
      <c r="E51" s="110">
        <v>120</v>
      </c>
      <c r="F51" s="110">
        <v>7</v>
      </c>
      <c r="G51" s="110">
        <v>30</v>
      </c>
      <c r="H51" s="109">
        <v>2.5</v>
      </c>
      <c r="I51" s="109"/>
      <c r="J51" s="109"/>
      <c r="K51" s="109"/>
      <c r="L51" s="109" t="s">
        <v>115</v>
      </c>
      <c r="M51" s="109"/>
      <c r="N51" s="110"/>
      <c r="O51" s="110" t="s">
        <v>115</v>
      </c>
      <c r="P51" s="111" t="s">
        <v>134</v>
      </c>
    </row>
    <row r="52" spans="2:16">
      <c r="B52" s="108">
        <v>121</v>
      </c>
      <c r="C52" s="110" t="s">
        <v>167</v>
      </c>
      <c r="D52" s="109" t="s">
        <v>93</v>
      </c>
      <c r="E52" s="110">
        <v>90</v>
      </c>
      <c r="F52" s="110">
        <v>2</v>
      </c>
      <c r="G52" s="110">
        <v>46</v>
      </c>
      <c r="H52" s="109">
        <v>3</v>
      </c>
      <c r="I52" s="109"/>
      <c r="J52" s="109">
        <v>656</v>
      </c>
      <c r="K52" s="109"/>
      <c r="L52" s="109"/>
      <c r="M52" s="109"/>
      <c r="N52" s="110"/>
      <c r="O52" s="110" t="s">
        <v>115</v>
      </c>
      <c r="P52" s="111"/>
    </row>
    <row r="53" spans="2:16">
      <c r="B53" s="108">
        <v>122</v>
      </c>
      <c r="C53" s="110" t="s">
        <v>168</v>
      </c>
      <c r="D53" s="109" t="s">
        <v>93</v>
      </c>
      <c r="E53" s="110">
        <v>95</v>
      </c>
      <c r="F53" s="110">
        <v>2</v>
      </c>
      <c r="G53" s="110">
        <v>50</v>
      </c>
      <c r="H53" s="109">
        <v>1.5</v>
      </c>
      <c r="I53" s="109"/>
      <c r="J53" s="109">
        <v>1000</v>
      </c>
      <c r="K53" s="109"/>
      <c r="L53" s="109"/>
      <c r="M53" s="109"/>
      <c r="N53" s="110"/>
      <c r="O53" s="110" t="s">
        <v>115</v>
      </c>
      <c r="P53" s="111" t="s">
        <v>101</v>
      </c>
    </row>
    <row r="54" spans="2:16">
      <c r="B54" s="108">
        <v>123</v>
      </c>
      <c r="C54" s="110" t="s">
        <v>169</v>
      </c>
      <c r="D54" s="109" t="s">
        <v>93</v>
      </c>
      <c r="E54" s="110">
        <v>81</v>
      </c>
      <c r="F54" s="110">
        <v>2</v>
      </c>
      <c r="G54" s="110">
        <v>60</v>
      </c>
      <c r="H54" s="109"/>
      <c r="I54" s="109"/>
      <c r="J54" s="109">
        <v>1800</v>
      </c>
      <c r="K54" s="109"/>
      <c r="L54" s="109"/>
      <c r="M54" s="109"/>
      <c r="N54" s="110"/>
      <c r="O54" s="110" t="s">
        <v>115</v>
      </c>
      <c r="P54" s="111" t="s">
        <v>101</v>
      </c>
    </row>
    <row r="55" spans="2:16">
      <c r="B55" s="108">
        <v>126</v>
      </c>
      <c r="C55" s="110" t="s">
        <v>170</v>
      </c>
      <c r="D55" s="109" t="s">
        <v>93</v>
      </c>
      <c r="E55" s="110">
        <v>160</v>
      </c>
      <c r="F55" s="110">
        <v>2</v>
      </c>
      <c r="G55" s="110">
        <v>40</v>
      </c>
      <c r="H55" s="109"/>
      <c r="I55" s="109"/>
      <c r="J55" s="109">
        <v>2400</v>
      </c>
      <c r="K55" s="109"/>
      <c r="L55" s="109"/>
      <c r="M55" s="109"/>
      <c r="N55" s="110"/>
      <c r="O55" s="110" t="s">
        <v>115</v>
      </c>
      <c r="P55" s="111" t="s">
        <v>101</v>
      </c>
    </row>
    <row r="56" spans="2:16">
      <c r="B56" s="108">
        <v>127</v>
      </c>
      <c r="C56" s="110" t="s">
        <v>171</v>
      </c>
      <c r="D56" s="109" t="s">
        <v>93</v>
      </c>
      <c r="E56" s="110">
        <v>180</v>
      </c>
      <c r="F56" s="110">
        <v>2</v>
      </c>
      <c r="G56" s="110">
        <v>54</v>
      </c>
      <c r="H56" s="109"/>
      <c r="I56" s="109"/>
      <c r="J56" s="109">
        <v>2500</v>
      </c>
      <c r="K56" s="109">
        <v>3.8140000000000001</v>
      </c>
      <c r="L56" s="109">
        <v>4</v>
      </c>
      <c r="M56" s="109"/>
      <c r="N56" s="110"/>
      <c r="O56" s="110" t="s">
        <v>115</v>
      </c>
      <c r="P56" s="111" t="s">
        <v>101</v>
      </c>
    </row>
    <row r="57" spans="2:16">
      <c r="B57" s="108">
        <v>128</v>
      </c>
      <c r="C57" s="110" t="s">
        <v>172</v>
      </c>
      <c r="D57" s="109" t="s">
        <v>93</v>
      </c>
      <c r="E57" s="110">
        <v>220</v>
      </c>
      <c r="F57" s="110">
        <v>3</v>
      </c>
      <c r="G57" s="110">
        <v>40</v>
      </c>
      <c r="H57" s="109">
        <v>1</v>
      </c>
      <c r="I57" s="109"/>
      <c r="J57" s="109">
        <v>7000</v>
      </c>
      <c r="K57" s="109"/>
      <c r="L57" s="109"/>
      <c r="M57" s="109"/>
      <c r="N57" s="110"/>
      <c r="O57" s="110" t="s">
        <v>115</v>
      </c>
      <c r="P57" s="111" t="s">
        <v>125</v>
      </c>
    </row>
    <row r="58" spans="2:16">
      <c r="B58" s="108">
        <v>129</v>
      </c>
      <c r="C58" s="110" t="s">
        <v>173</v>
      </c>
      <c r="D58" s="109" t="s">
        <v>93</v>
      </c>
      <c r="E58" s="110">
        <v>60</v>
      </c>
      <c r="F58" s="110">
        <v>2</v>
      </c>
      <c r="G58" s="110">
        <v>100</v>
      </c>
      <c r="H58" s="109"/>
      <c r="I58" s="109"/>
      <c r="J58" s="109">
        <v>1500</v>
      </c>
      <c r="K58" s="109"/>
      <c r="L58" s="109"/>
      <c r="M58" s="109"/>
      <c r="N58" s="110"/>
      <c r="O58" s="110" t="s">
        <v>115</v>
      </c>
      <c r="P58" s="111" t="s">
        <v>101</v>
      </c>
    </row>
    <row r="59" spans="2:16">
      <c r="B59" s="108">
        <v>131</v>
      </c>
      <c r="C59" s="110" t="s">
        <v>174</v>
      </c>
      <c r="D59" s="109" t="s">
        <v>93</v>
      </c>
      <c r="E59" s="110">
        <v>80</v>
      </c>
      <c r="F59" s="110">
        <v>2</v>
      </c>
      <c r="G59" s="110">
        <v>40</v>
      </c>
      <c r="H59" s="109">
        <v>4</v>
      </c>
      <c r="I59" s="109"/>
      <c r="J59" s="109"/>
      <c r="K59" s="109"/>
      <c r="L59" s="109"/>
      <c r="M59" s="109"/>
      <c r="N59" s="110" t="s">
        <v>115</v>
      </c>
      <c r="O59" s="110"/>
      <c r="P59" s="111"/>
    </row>
    <row r="60" spans="2:16">
      <c r="B60" s="108">
        <v>132</v>
      </c>
      <c r="C60" s="110" t="s">
        <v>175</v>
      </c>
      <c r="D60" s="109" t="s">
        <v>93</v>
      </c>
      <c r="E60" s="110">
        <v>146</v>
      </c>
      <c r="F60" s="110">
        <v>3</v>
      </c>
      <c r="G60" s="110">
        <v>44</v>
      </c>
      <c r="H60" s="109">
        <v>5</v>
      </c>
      <c r="I60" s="109"/>
      <c r="J60" s="109"/>
      <c r="K60" s="109"/>
      <c r="L60" s="109"/>
      <c r="M60" s="109"/>
      <c r="N60" s="110"/>
      <c r="O60" s="110" t="s">
        <v>115</v>
      </c>
      <c r="P60" s="111" t="s">
        <v>101</v>
      </c>
    </row>
    <row r="61" spans="2:16">
      <c r="B61" s="108">
        <v>133</v>
      </c>
      <c r="C61" s="110" t="s">
        <v>176</v>
      </c>
      <c r="D61" s="109" t="s">
        <v>93</v>
      </c>
      <c r="E61" s="110">
        <v>130</v>
      </c>
      <c r="F61" s="110">
        <v>2</v>
      </c>
      <c r="G61" s="110">
        <v>46</v>
      </c>
      <c r="H61" s="109"/>
      <c r="I61" s="109"/>
      <c r="J61" s="109">
        <v>1136</v>
      </c>
      <c r="K61" s="109"/>
      <c r="L61" s="109"/>
      <c r="M61" s="109"/>
      <c r="N61" s="110"/>
      <c r="O61" s="110" t="s">
        <v>115</v>
      </c>
      <c r="P61" s="111" t="s">
        <v>101</v>
      </c>
    </row>
    <row r="62" spans="2:16">
      <c r="B62" s="108">
        <v>134</v>
      </c>
      <c r="C62" s="110" t="s">
        <v>177</v>
      </c>
      <c r="D62" s="109" t="s">
        <v>93</v>
      </c>
      <c r="E62" s="110">
        <v>130</v>
      </c>
      <c r="F62" s="110">
        <v>2</v>
      </c>
      <c r="G62" s="110">
        <v>50</v>
      </c>
      <c r="H62" s="109"/>
      <c r="I62" s="109"/>
      <c r="J62" s="109">
        <v>1560</v>
      </c>
      <c r="K62" s="109"/>
      <c r="L62" s="109"/>
      <c r="M62" s="109"/>
      <c r="N62" s="110"/>
      <c r="O62" s="110" t="s">
        <v>115</v>
      </c>
      <c r="P62" s="111" t="s">
        <v>94</v>
      </c>
    </row>
    <row r="63" spans="2:16">
      <c r="B63" s="108">
        <v>135</v>
      </c>
      <c r="C63" s="110" t="s">
        <v>178</v>
      </c>
      <c r="D63" s="109" t="s">
        <v>93</v>
      </c>
      <c r="E63" s="110"/>
      <c r="F63" s="110">
        <v>5</v>
      </c>
      <c r="G63" s="110">
        <v>40</v>
      </c>
      <c r="H63" s="109"/>
      <c r="I63" s="109"/>
      <c r="J63" s="109">
        <v>10847</v>
      </c>
      <c r="K63" s="109"/>
      <c r="L63" s="109"/>
      <c r="M63" s="109"/>
      <c r="N63" s="110"/>
      <c r="O63" s="110" t="s">
        <v>115</v>
      </c>
      <c r="P63" s="111"/>
    </row>
    <row r="64" spans="2:16">
      <c r="B64" s="108">
        <v>136</v>
      </c>
      <c r="C64" s="110" t="s">
        <v>179</v>
      </c>
      <c r="D64" s="109" t="s">
        <v>93</v>
      </c>
      <c r="E64" s="110">
        <v>130</v>
      </c>
      <c r="F64" s="110"/>
      <c r="G64" s="110">
        <v>100</v>
      </c>
      <c r="H64" s="109">
        <v>4</v>
      </c>
      <c r="I64" s="109"/>
      <c r="J64" s="109"/>
      <c r="K64" s="109"/>
      <c r="L64" s="109"/>
      <c r="M64" s="109"/>
      <c r="N64" s="110"/>
      <c r="O64" s="110" t="s">
        <v>115</v>
      </c>
      <c r="P64" s="111" t="s">
        <v>94</v>
      </c>
    </row>
    <row r="65" spans="2:16">
      <c r="B65" s="108">
        <v>137</v>
      </c>
      <c r="C65" s="110" t="s">
        <v>132</v>
      </c>
      <c r="D65" s="109" t="s">
        <v>93</v>
      </c>
      <c r="E65" s="110">
        <v>110</v>
      </c>
      <c r="F65" s="110">
        <v>2</v>
      </c>
      <c r="G65" s="110">
        <v>30</v>
      </c>
      <c r="H65" s="109">
        <v>3</v>
      </c>
      <c r="I65" s="109"/>
      <c r="J65" s="109"/>
      <c r="K65" s="109"/>
      <c r="L65" s="109" t="s">
        <v>115</v>
      </c>
      <c r="M65" s="109"/>
      <c r="N65" s="110"/>
      <c r="O65" s="110" t="s">
        <v>115</v>
      </c>
      <c r="P65" s="111"/>
    </row>
    <row r="66" spans="2:16">
      <c r="B66" s="108">
        <v>138</v>
      </c>
      <c r="C66" s="110" t="s">
        <v>180</v>
      </c>
      <c r="D66" s="109" t="s">
        <v>93</v>
      </c>
      <c r="E66" s="110">
        <v>121</v>
      </c>
      <c r="F66" s="110">
        <v>4</v>
      </c>
      <c r="G66" s="110">
        <v>36</v>
      </c>
      <c r="H66" s="109">
        <v>5</v>
      </c>
      <c r="I66" s="109"/>
      <c r="J66" s="109"/>
      <c r="K66" s="109"/>
      <c r="L66" s="109"/>
      <c r="M66" s="109"/>
      <c r="N66" s="110"/>
      <c r="O66" s="110" t="s">
        <v>115</v>
      </c>
      <c r="P66" s="111" t="s">
        <v>101</v>
      </c>
    </row>
    <row r="67" spans="2:16">
      <c r="B67" s="108">
        <v>139</v>
      </c>
      <c r="C67" s="110"/>
      <c r="D67" s="109" t="s">
        <v>93</v>
      </c>
      <c r="E67" s="110">
        <v>180</v>
      </c>
      <c r="F67" s="110">
        <v>4</v>
      </c>
      <c r="G67" s="110">
        <v>30</v>
      </c>
      <c r="H67" s="109">
        <v>3</v>
      </c>
      <c r="I67" s="109"/>
      <c r="J67" s="109"/>
      <c r="K67" s="109"/>
      <c r="L67" s="109" t="s">
        <v>115</v>
      </c>
      <c r="M67" s="109"/>
      <c r="N67" s="110" t="s">
        <v>115</v>
      </c>
      <c r="O67" s="110"/>
      <c r="P67" s="111" t="s">
        <v>131</v>
      </c>
    </row>
    <row r="68" spans="2:16">
      <c r="B68" s="108">
        <v>140</v>
      </c>
      <c r="C68" s="110" t="s">
        <v>181</v>
      </c>
      <c r="D68" s="109" t="s">
        <v>140</v>
      </c>
      <c r="E68" s="110">
        <v>140</v>
      </c>
      <c r="F68" s="110">
        <v>2</v>
      </c>
      <c r="G68" s="110">
        <v>22</v>
      </c>
      <c r="H68" s="109">
        <v>2.5</v>
      </c>
      <c r="I68" s="109"/>
      <c r="J68" s="109"/>
      <c r="K68" s="109"/>
      <c r="L68" s="109"/>
      <c r="M68" s="109"/>
      <c r="N68" s="110"/>
      <c r="O68" s="110" t="s">
        <v>115</v>
      </c>
      <c r="P68" s="111" t="s">
        <v>101</v>
      </c>
    </row>
    <row r="69" spans="2:16">
      <c r="B69" s="108">
        <v>141</v>
      </c>
      <c r="C69" s="110" t="s">
        <v>182</v>
      </c>
      <c r="D69" s="109" t="s">
        <v>93</v>
      </c>
      <c r="E69" s="110">
        <v>150</v>
      </c>
      <c r="F69" s="110">
        <v>5</v>
      </c>
      <c r="G69" s="110">
        <v>40</v>
      </c>
      <c r="H69" s="109">
        <v>2</v>
      </c>
      <c r="I69" s="109"/>
      <c r="J69" s="109"/>
      <c r="K69" s="109"/>
      <c r="L69" s="109" t="s">
        <v>115</v>
      </c>
      <c r="M69" s="109"/>
      <c r="N69" s="110"/>
      <c r="O69" s="110" t="s">
        <v>115</v>
      </c>
      <c r="P69" s="111" t="s">
        <v>96</v>
      </c>
    </row>
    <row r="70" spans="2:16">
      <c r="B70" s="108">
        <v>148</v>
      </c>
      <c r="C70" s="110" t="s">
        <v>183</v>
      </c>
      <c r="D70" s="109" t="s">
        <v>93</v>
      </c>
      <c r="E70" s="110">
        <v>75</v>
      </c>
      <c r="F70" s="110">
        <v>2</v>
      </c>
      <c r="G70" s="110">
        <v>69</v>
      </c>
      <c r="H70" s="109">
        <v>3</v>
      </c>
      <c r="I70" s="109"/>
      <c r="J70" s="109">
        <v>1519</v>
      </c>
      <c r="K70" s="109"/>
      <c r="L70" s="109"/>
      <c r="M70" s="109"/>
      <c r="N70" s="110"/>
      <c r="O70" s="110" t="s">
        <v>115</v>
      </c>
      <c r="P70" s="111"/>
    </row>
    <row r="71" spans="2:16">
      <c r="B71" s="108">
        <v>149</v>
      </c>
      <c r="C71" s="110" t="s">
        <v>184</v>
      </c>
      <c r="D71" s="109" t="s">
        <v>93</v>
      </c>
      <c r="E71" s="110">
        <v>134</v>
      </c>
      <c r="F71" s="110">
        <v>2</v>
      </c>
      <c r="G71" s="110">
        <v>11</v>
      </c>
      <c r="H71" s="109"/>
      <c r="I71" s="109"/>
      <c r="J71" s="109">
        <v>700</v>
      </c>
      <c r="K71" s="109"/>
      <c r="L71" s="109">
        <v>10</v>
      </c>
      <c r="M71" s="109"/>
      <c r="N71" s="110"/>
      <c r="O71" s="110" t="s">
        <v>115</v>
      </c>
      <c r="P71" s="111" t="s">
        <v>94</v>
      </c>
    </row>
    <row r="72" spans="2:16">
      <c r="B72" s="108">
        <v>150</v>
      </c>
      <c r="C72" s="110" t="s">
        <v>185</v>
      </c>
      <c r="D72" s="109" t="s">
        <v>93</v>
      </c>
      <c r="E72" s="110">
        <v>120</v>
      </c>
      <c r="F72" s="110">
        <v>1</v>
      </c>
      <c r="G72" s="110">
        <v>60</v>
      </c>
      <c r="H72" s="109"/>
      <c r="I72" s="109"/>
      <c r="J72" s="109">
        <v>3000</v>
      </c>
      <c r="K72" s="109"/>
      <c r="L72" s="109"/>
      <c r="M72" s="109"/>
      <c r="N72" s="110"/>
      <c r="O72" s="110" t="s">
        <v>115</v>
      </c>
      <c r="P72" s="111"/>
    </row>
    <row r="73" spans="2:16">
      <c r="B73" s="108">
        <v>151</v>
      </c>
      <c r="C73" s="110" t="s">
        <v>186</v>
      </c>
      <c r="D73" s="109" t="s">
        <v>93</v>
      </c>
      <c r="E73" s="110">
        <v>80</v>
      </c>
      <c r="F73" s="110">
        <v>4</v>
      </c>
      <c r="G73" s="110">
        <v>50</v>
      </c>
      <c r="H73" s="109">
        <v>3</v>
      </c>
      <c r="I73" s="109"/>
      <c r="J73" s="109"/>
      <c r="K73" s="109"/>
      <c r="L73" s="109" t="s">
        <v>115</v>
      </c>
      <c r="M73" s="109"/>
      <c r="N73" s="110" t="s">
        <v>115</v>
      </c>
      <c r="O73" s="110"/>
      <c r="P73" s="111"/>
    </row>
    <row r="74" spans="2:16">
      <c r="B74" s="108">
        <v>152</v>
      </c>
      <c r="C74" s="110" t="s">
        <v>187</v>
      </c>
      <c r="D74" s="109" t="s">
        <v>140</v>
      </c>
      <c r="E74" s="110">
        <v>100</v>
      </c>
      <c r="F74" s="110">
        <v>1</v>
      </c>
      <c r="G74" s="110">
        <v>60</v>
      </c>
      <c r="H74" s="109"/>
      <c r="I74" s="109">
        <f>1500*Wskaźniki!C10</f>
        <v>53.550000000000004</v>
      </c>
      <c r="J74" s="109"/>
      <c r="K74" s="109"/>
      <c r="L74" s="109"/>
      <c r="M74" s="109"/>
      <c r="N74" s="110"/>
      <c r="O74" s="110" t="s">
        <v>115</v>
      </c>
      <c r="P74" s="111"/>
    </row>
    <row r="75" spans="2:16">
      <c r="B75" s="108">
        <v>155</v>
      </c>
      <c r="C75" s="110" t="s">
        <v>188</v>
      </c>
      <c r="D75" s="109" t="s">
        <v>93</v>
      </c>
      <c r="E75" s="110">
        <v>100</v>
      </c>
      <c r="F75" s="110">
        <v>3</v>
      </c>
      <c r="G75" s="110">
        <v>50</v>
      </c>
      <c r="H75" s="109"/>
      <c r="I75" s="109"/>
      <c r="J75" s="109">
        <v>1600</v>
      </c>
      <c r="K75" s="109"/>
      <c r="L75" s="109"/>
      <c r="M75" s="109"/>
      <c r="N75" s="110"/>
      <c r="O75" s="110" t="s">
        <v>115</v>
      </c>
      <c r="P75" s="111"/>
    </row>
    <row r="76" spans="2:16">
      <c r="B76" s="108">
        <v>156</v>
      </c>
      <c r="C76" s="110" t="s">
        <v>132</v>
      </c>
      <c r="D76" s="109" t="s">
        <v>93</v>
      </c>
      <c r="E76" s="110">
        <v>170</v>
      </c>
      <c r="F76" s="110">
        <v>3</v>
      </c>
      <c r="G76" s="110">
        <v>43</v>
      </c>
      <c r="H76" s="109">
        <v>5</v>
      </c>
      <c r="I76" s="109"/>
      <c r="J76" s="109"/>
      <c r="K76" s="109"/>
      <c r="L76" s="109"/>
      <c r="M76" s="109"/>
      <c r="N76" s="110" t="s">
        <v>115</v>
      </c>
      <c r="O76" s="110"/>
      <c r="P76" s="111" t="s">
        <v>189</v>
      </c>
    </row>
    <row r="77" spans="2:16">
      <c r="B77" s="108">
        <v>157</v>
      </c>
      <c r="C77" s="110" t="s">
        <v>132</v>
      </c>
      <c r="D77" s="109" t="s">
        <v>93</v>
      </c>
      <c r="E77" s="110">
        <v>110</v>
      </c>
      <c r="F77" s="110">
        <v>5</v>
      </c>
      <c r="G77" s="110">
        <v>40</v>
      </c>
      <c r="H77" s="109">
        <v>4</v>
      </c>
      <c r="I77" s="109"/>
      <c r="J77" s="109"/>
      <c r="K77" s="109"/>
      <c r="L77" s="109"/>
      <c r="M77" s="109"/>
      <c r="N77" s="110" t="s">
        <v>115</v>
      </c>
      <c r="O77" s="110"/>
      <c r="P77" s="111" t="s">
        <v>101</v>
      </c>
    </row>
    <row r="78" spans="2:16">
      <c r="B78" s="108">
        <v>158</v>
      </c>
      <c r="C78" s="110" t="s">
        <v>190</v>
      </c>
      <c r="D78" s="109" t="s">
        <v>93</v>
      </c>
      <c r="E78" s="110">
        <v>65</v>
      </c>
      <c r="F78" s="110">
        <v>4</v>
      </c>
      <c r="G78" s="110">
        <v>45</v>
      </c>
      <c r="H78" s="109"/>
      <c r="I78" s="109">
        <f>1700*Wskaźniki!C10</f>
        <v>60.690000000000005</v>
      </c>
      <c r="J78" s="109"/>
      <c r="K78" s="109"/>
      <c r="L78" s="109"/>
      <c r="M78" s="109"/>
      <c r="N78" s="110"/>
      <c r="O78" s="110" t="s">
        <v>115</v>
      </c>
      <c r="P78" s="111"/>
    </row>
    <row r="79" spans="2:16">
      <c r="B79" s="108">
        <v>159</v>
      </c>
      <c r="C79" s="110" t="s">
        <v>147</v>
      </c>
      <c r="D79" s="109" t="s">
        <v>93</v>
      </c>
      <c r="E79" s="110">
        <v>240</v>
      </c>
      <c r="F79" s="110">
        <v>5</v>
      </c>
      <c r="G79" s="110">
        <v>30</v>
      </c>
      <c r="H79" s="109">
        <v>8</v>
      </c>
      <c r="I79" s="109"/>
      <c r="J79" s="109"/>
      <c r="K79" s="109"/>
      <c r="L79" s="109"/>
      <c r="M79" s="109"/>
      <c r="N79" s="110" t="s">
        <v>115</v>
      </c>
      <c r="O79" s="110"/>
      <c r="P79" s="111" t="s">
        <v>125</v>
      </c>
    </row>
    <row r="80" spans="2:16">
      <c r="B80" s="108">
        <v>160</v>
      </c>
      <c r="C80" s="110" t="s">
        <v>191</v>
      </c>
      <c r="D80" s="109" t="s">
        <v>93</v>
      </c>
      <c r="E80" s="110">
        <v>110</v>
      </c>
      <c r="F80" s="110">
        <v>2</v>
      </c>
      <c r="G80" s="110">
        <v>35</v>
      </c>
      <c r="H80" s="109">
        <v>5</v>
      </c>
      <c r="I80" s="109"/>
      <c r="J80" s="109"/>
      <c r="K80" s="109"/>
      <c r="L80" s="109"/>
      <c r="M80" s="109"/>
      <c r="N80" s="110" t="s">
        <v>115</v>
      </c>
      <c r="O80" s="110"/>
      <c r="P80" s="111"/>
    </row>
    <row r="81" spans="2:16">
      <c r="B81" s="108">
        <v>161</v>
      </c>
      <c r="C81" s="110" t="s">
        <v>192</v>
      </c>
      <c r="D81" s="109" t="s">
        <v>93</v>
      </c>
      <c r="E81" s="110">
        <v>110</v>
      </c>
      <c r="F81" s="110">
        <v>2</v>
      </c>
      <c r="G81" s="110">
        <v>41</v>
      </c>
      <c r="H81" s="109"/>
      <c r="I81" s="109"/>
      <c r="J81" s="109">
        <v>6500</v>
      </c>
      <c r="K81" s="109"/>
      <c r="L81" s="109"/>
      <c r="M81" s="109"/>
      <c r="N81" s="110"/>
      <c r="O81" s="110" t="s">
        <v>115</v>
      </c>
      <c r="P81" s="111"/>
    </row>
    <row r="82" spans="2:16">
      <c r="B82" s="108">
        <v>163</v>
      </c>
      <c r="C82" s="110" t="s">
        <v>193</v>
      </c>
      <c r="D82" s="109" t="s">
        <v>93</v>
      </c>
      <c r="E82" s="110">
        <v>156</v>
      </c>
      <c r="F82" s="110">
        <v>2</v>
      </c>
      <c r="G82" s="110">
        <v>7</v>
      </c>
      <c r="H82" s="109"/>
      <c r="I82" s="109"/>
      <c r="J82" s="109">
        <v>1000</v>
      </c>
      <c r="K82" s="109"/>
      <c r="L82" s="109">
        <v>3</v>
      </c>
      <c r="M82" s="109"/>
      <c r="N82" s="110"/>
      <c r="O82" s="110" t="s">
        <v>115</v>
      </c>
      <c r="P82" s="111" t="s">
        <v>101</v>
      </c>
    </row>
    <row r="83" spans="2:16">
      <c r="B83" s="108">
        <v>165</v>
      </c>
      <c r="C83" s="110" t="s">
        <v>194</v>
      </c>
      <c r="D83" s="109" t="s">
        <v>93</v>
      </c>
      <c r="E83" s="110">
        <v>110</v>
      </c>
      <c r="F83" s="110">
        <v>2</v>
      </c>
      <c r="G83" s="110">
        <v>3</v>
      </c>
      <c r="H83" s="109"/>
      <c r="I83" s="109"/>
      <c r="J83" s="109">
        <v>600</v>
      </c>
      <c r="K83" s="109"/>
      <c r="L83" s="109"/>
      <c r="M83" s="109"/>
      <c r="N83" s="110"/>
      <c r="O83" s="110" t="s">
        <v>115</v>
      </c>
      <c r="P83" s="111" t="s">
        <v>101</v>
      </c>
    </row>
    <row r="84" spans="2:16">
      <c r="B84" s="108">
        <v>166</v>
      </c>
      <c r="C84" s="110"/>
      <c r="D84" s="109" t="s">
        <v>95</v>
      </c>
      <c r="E84" s="110">
        <v>245</v>
      </c>
      <c r="F84" s="110">
        <v>7</v>
      </c>
      <c r="G84" s="110">
        <v>25</v>
      </c>
      <c r="H84" s="109"/>
      <c r="I84" s="109"/>
      <c r="J84" s="109">
        <v>10000</v>
      </c>
      <c r="K84" s="109"/>
      <c r="L84" s="109" t="s">
        <v>115</v>
      </c>
      <c r="M84" s="109"/>
      <c r="N84" s="110"/>
      <c r="O84" s="110" t="s">
        <v>115</v>
      </c>
      <c r="P84" s="111" t="s">
        <v>101</v>
      </c>
    </row>
    <row r="85" spans="2:16">
      <c r="B85" s="108">
        <v>168</v>
      </c>
      <c r="C85" s="110" t="s">
        <v>195</v>
      </c>
      <c r="D85" s="109" t="s">
        <v>140</v>
      </c>
      <c r="E85" s="110">
        <v>220</v>
      </c>
      <c r="F85" s="110">
        <v>1</v>
      </c>
      <c r="G85" s="110">
        <v>40</v>
      </c>
      <c r="H85" s="109"/>
      <c r="I85" s="109"/>
      <c r="J85" s="109">
        <v>4500</v>
      </c>
      <c r="K85" s="109"/>
      <c r="L85" s="109"/>
      <c r="M85" s="109"/>
      <c r="N85" s="110" t="s">
        <v>115</v>
      </c>
      <c r="O85" s="110"/>
      <c r="P85" s="111" t="s">
        <v>134</v>
      </c>
    </row>
    <row r="86" spans="2:16">
      <c r="B86" s="108">
        <v>171</v>
      </c>
      <c r="C86" s="110"/>
      <c r="D86" s="109" t="s">
        <v>93</v>
      </c>
      <c r="E86" s="110">
        <v>150</v>
      </c>
      <c r="F86" s="110">
        <v>2</v>
      </c>
      <c r="G86" s="110">
        <v>45</v>
      </c>
      <c r="H86" s="109"/>
      <c r="I86" s="109"/>
      <c r="J86" s="109">
        <v>2500</v>
      </c>
      <c r="K86" s="109"/>
      <c r="L86" s="109"/>
      <c r="M86" s="109"/>
      <c r="N86" s="110"/>
      <c r="O86" s="110" t="s">
        <v>115</v>
      </c>
      <c r="P86" s="111" t="s">
        <v>101</v>
      </c>
    </row>
    <row r="87" spans="2:16">
      <c r="B87" s="108">
        <v>173</v>
      </c>
      <c r="C87" s="110" t="s">
        <v>196</v>
      </c>
      <c r="D87" s="109" t="s">
        <v>93</v>
      </c>
      <c r="E87" s="110">
        <v>120</v>
      </c>
      <c r="F87" s="110">
        <v>2</v>
      </c>
      <c r="G87" s="110">
        <v>40</v>
      </c>
      <c r="H87" s="109">
        <v>5</v>
      </c>
      <c r="I87" s="109"/>
      <c r="J87" s="109"/>
      <c r="K87" s="109"/>
      <c r="L87" s="109"/>
      <c r="M87" s="109"/>
      <c r="N87" s="110" t="s">
        <v>115</v>
      </c>
      <c r="O87" s="110"/>
      <c r="P87" s="111" t="s">
        <v>101</v>
      </c>
    </row>
    <row r="88" spans="2:16">
      <c r="B88" s="108">
        <v>174</v>
      </c>
      <c r="C88" s="110" t="s">
        <v>197</v>
      </c>
      <c r="D88" s="109" t="s">
        <v>93</v>
      </c>
      <c r="E88" s="110">
        <v>252</v>
      </c>
      <c r="F88" s="110">
        <v>2</v>
      </c>
      <c r="G88" s="110">
        <v>45</v>
      </c>
      <c r="H88" s="109">
        <v>5</v>
      </c>
      <c r="I88" s="109"/>
      <c r="J88" s="109"/>
      <c r="K88" s="109"/>
      <c r="L88" s="109"/>
      <c r="M88" s="109"/>
      <c r="N88" s="110" t="s">
        <v>115</v>
      </c>
      <c r="O88" s="110"/>
      <c r="P88" s="111" t="s">
        <v>101</v>
      </c>
    </row>
    <row r="89" spans="2:16">
      <c r="B89" s="108">
        <v>175</v>
      </c>
      <c r="C89" s="110" t="s">
        <v>198</v>
      </c>
      <c r="D89" s="109" t="s">
        <v>93</v>
      </c>
      <c r="E89" s="110">
        <v>84</v>
      </c>
      <c r="F89" s="110">
        <v>1</v>
      </c>
      <c r="G89" s="110">
        <v>50</v>
      </c>
      <c r="H89" s="109">
        <v>2</v>
      </c>
      <c r="I89" s="109"/>
      <c r="J89" s="109"/>
      <c r="K89" s="109"/>
      <c r="L89" s="109">
        <v>3</v>
      </c>
      <c r="M89" s="109"/>
      <c r="N89" s="110"/>
      <c r="O89" s="110" t="s">
        <v>115</v>
      </c>
      <c r="P89" s="111" t="s">
        <v>101</v>
      </c>
    </row>
    <row r="90" spans="2:16">
      <c r="B90" s="108">
        <v>176</v>
      </c>
      <c r="C90" s="110" t="s">
        <v>199</v>
      </c>
      <c r="D90" s="109" t="s">
        <v>93</v>
      </c>
      <c r="E90" s="110">
        <v>110</v>
      </c>
      <c r="F90" s="110">
        <v>1</v>
      </c>
      <c r="G90" s="110">
        <v>50</v>
      </c>
      <c r="H90" s="109"/>
      <c r="I90" s="109">
        <f>3000*Wskaźniki!C10</f>
        <v>107.10000000000001</v>
      </c>
      <c r="J90" s="109"/>
      <c r="K90" s="109"/>
      <c r="L90" s="109"/>
      <c r="M90" s="109"/>
      <c r="N90" s="110"/>
      <c r="O90" s="110" t="s">
        <v>115</v>
      </c>
      <c r="P90" s="111" t="s">
        <v>101</v>
      </c>
    </row>
    <row r="91" spans="2:16">
      <c r="B91" s="108">
        <v>177</v>
      </c>
      <c r="C91" s="110"/>
      <c r="D91" s="109" t="s">
        <v>93</v>
      </c>
      <c r="E91" s="110">
        <v>150</v>
      </c>
      <c r="F91" s="110">
        <v>1</v>
      </c>
      <c r="G91" s="110">
        <v>45</v>
      </c>
      <c r="H91" s="109"/>
      <c r="I91" s="109"/>
      <c r="J91" s="109">
        <v>1000</v>
      </c>
      <c r="K91" s="109"/>
      <c r="L91" s="109"/>
      <c r="M91" s="109"/>
      <c r="N91" s="110"/>
      <c r="O91" s="110" t="s">
        <v>115</v>
      </c>
      <c r="P91" s="111" t="s">
        <v>101</v>
      </c>
    </row>
    <row r="92" spans="2:16">
      <c r="B92" s="108">
        <v>179</v>
      </c>
      <c r="C92" s="110" t="s">
        <v>144</v>
      </c>
      <c r="D92" s="109" t="s">
        <v>93</v>
      </c>
      <c r="E92" s="110">
        <v>125</v>
      </c>
      <c r="F92" s="110">
        <v>2</v>
      </c>
      <c r="G92" s="110">
        <v>44</v>
      </c>
      <c r="H92" s="109">
        <v>3</v>
      </c>
      <c r="I92" s="109"/>
      <c r="J92" s="109"/>
      <c r="K92" s="109"/>
      <c r="L92" s="109"/>
      <c r="M92" s="109"/>
      <c r="N92" s="110"/>
      <c r="O92" s="110" t="s">
        <v>115</v>
      </c>
      <c r="P92" s="111" t="s">
        <v>101</v>
      </c>
    </row>
    <row r="93" spans="2:16">
      <c r="B93" s="108">
        <v>180</v>
      </c>
      <c r="C93" s="110" t="s">
        <v>148</v>
      </c>
      <c r="D93" s="109" t="s">
        <v>93</v>
      </c>
      <c r="E93" s="110">
        <v>90</v>
      </c>
      <c r="F93" s="110">
        <v>1</v>
      </c>
      <c r="G93" s="110">
        <v>45</v>
      </c>
      <c r="H93" s="109">
        <v>4</v>
      </c>
      <c r="I93" s="109"/>
      <c r="J93" s="109"/>
      <c r="K93" s="109"/>
      <c r="L93" s="109"/>
      <c r="M93" s="109"/>
      <c r="N93" s="110"/>
      <c r="O93" s="110" t="s">
        <v>115</v>
      </c>
      <c r="P93" s="111" t="s">
        <v>101</v>
      </c>
    </row>
    <row r="94" spans="2:16">
      <c r="B94" s="108">
        <v>181</v>
      </c>
      <c r="C94" s="110"/>
      <c r="D94" s="109" t="s">
        <v>93</v>
      </c>
      <c r="E94" s="110">
        <v>110</v>
      </c>
      <c r="F94" s="110">
        <v>2</v>
      </c>
      <c r="G94" s="110">
        <v>40</v>
      </c>
      <c r="H94" s="109">
        <v>8</v>
      </c>
      <c r="I94" s="109" t="s">
        <v>115</v>
      </c>
      <c r="J94" s="109"/>
      <c r="K94" s="109"/>
      <c r="L94" s="109" t="s">
        <v>115</v>
      </c>
      <c r="M94" s="109"/>
      <c r="N94" s="110"/>
      <c r="O94" s="110" t="s">
        <v>115</v>
      </c>
      <c r="P94" s="111" t="s">
        <v>101</v>
      </c>
    </row>
    <row r="95" spans="2:16">
      <c r="B95" s="108">
        <v>182</v>
      </c>
      <c r="C95" s="110" t="s">
        <v>871</v>
      </c>
      <c r="D95" s="745" t="s">
        <v>95</v>
      </c>
      <c r="E95" s="744">
        <v>823.9</v>
      </c>
      <c r="F95" s="744"/>
      <c r="G95" s="744"/>
      <c r="H95" s="745"/>
      <c r="I95" s="745"/>
      <c r="J95" s="745"/>
      <c r="K95" s="745"/>
      <c r="L95" s="745"/>
      <c r="M95" s="745">
        <v>198.49</v>
      </c>
      <c r="N95" s="744"/>
      <c r="O95" s="744"/>
      <c r="P95" s="745"/>
    </row>
    <row r="96" spans="2:16">
      <c r="B96" s="108">
        <v>183</v>
      </c>
      <c r="C96" s="110" t="s">
        <v>873</v>
      </c>
      <c r="D96" s="745" t="s">
        <v>95</v>
      </c>
      <c r="E96" s="744">
        <v>943.7</v>
      </c>
      <c r="F96" s="744"/>
      <c r="G96" s="744"/>
      <c r="H96" s="745"/>
      <c r="I96" s="745"/>
      <c r="J96" s="745"/>
      <c r="K96" s="745"/>
      <c r="L96" s="745"/>
      <c r="M96" s="745">
        <v>239.75</v>
      </c>
      <c r="N96" s="744"/>
      <c r="O96" s="744"/>
      <c r="P96" s="745"/>
    </row>
    <row r="97" spans="2:16">
      <c r="B97" s="108">
        <v>184</v>
      </c>
      <c r="C97" s="110" t="s">
        <v>874</v>
      </c>
      <c r="D97" s="745" t="s">
        <v>95</v>
      </c>
      <c r="E97" s="744">
        <v>884.2</v>
      </c>
      <c r="F97" s="744"/>
      <c r="G97" s="744"/>
      <c r="H97" s="745"/>
      <c r="I97" s="745"/>
      <c r="J97" s="745"/>
      <c r="K97" s="745"/>
      <c r="L97" s="745"/>
      <c r="M97" s="745">
        <v>233.16</v>
      </c>
      <c r="N97" s="744"/>
      <c r="O97" s="744"/>
      <c r="P97" s="745"/>
    </row>
    <row r="98" spans="2:16">
      <c r="B98" s="108">
        <v>185</v>
      </c>
      <c r="C98" s="744" t="s">
        <v>875</v>
      </c>
      <c r="D98" s="745" t="s">
        <v>95</v>
      </c>
      <c r="E98" s="744">
        <v>790.5</v>
      </c>
      <c r="F98" s="744"/>
      <c r="G98" s="744"/>
      <c r="H98" s="745"/>
      <c r="I98" s="745"/>
      <c r="J98" s="748">
        <f>250.02/Wskaźniki!C11</f>
        <v>6921.9269102990038</v>
      </c>
      <c r="K98" s="745"/>
      <c r="L98" s="745"/>
      <c r="M98" s="745"/>
      <c r="N98" s="744"/>
      <c r="O98" s="744"/>
      <c r="P98" s="745"/>
    </row>
    <row r="99" spans="2:16">
      <c r="B99" s="108">
        <v>186</v>
      </c>
      <c r="C99" s="744" t="s">
        <v>876</v>
      </c>
      <c r="D99" s="745" t="s">
        <v>95</v>
      </c>
      <c r="E99" s="744">
        <v>787.5</v>
      </c>
      <c r="F99" s="744"/>
      <c r="G99" s="744"/>
      <c r="H99" s="745"/>
      <c r="I99" s="745"/>
      <c r="J99" s="748">
        <f>261.13/Wskaźniki!C11</f>
        <v>7229.5127353266889</v>
      </c>
      <c r="K99" s="745"/>
      <c r="L99" s="745"/>
      <c r="M99" s="745"/>
      <c r="N99" s="744"/>
      <c r="O99" s="744"/>
      <c r="P99" s="745"/>
    </row>
    <row r="100" spans="2:16">
      <c r="B100" s="108">
        <v>187</v>
      </c>
      <c r="C100" s="744" t="s">
        <v>877</v>
      </c>
      <c r="D100" s="745" t="s">
        <v>95</v>
      </c>
      <c r="E100" s="744">
        <v>783.5</v>
      </c>
      <c r="F100" s="744"/>
      <c r="G100" s="744"/>
      <c r="H100" s="745"/>
      <c r="I100" s="745"/>
      <c r="J100" s="748">
        <f>254.1/Wskaźniki!C11</f>
        <v>7034.8837209302328</v>
      </c>
      <c r="K100" s="745"/>
      <c r="L100" s="745"/>
      <c r="M100" s="745"/>
      <c r="N100" s="744"/>
      <c r="O100" s="744"/>
      <c r="P100" s="745"/>
    </row>
    <row r="101" spans="2:16">
      <c r="B101" s="108">
        <v>188</v>
      </c>
      <c r="C101" s="744" t="s">
        <v>878</v>
      </c>
      <c r="D101" s="745" t="s">
        <v>95</v>
      </c>
      <c r="E101" s="744">
        <v>776.2</v>
      </c>
      <c r="F101" s="744"/>
      <c r="G101" s="744"/>
      <c r="H101" s="745"/>
      <c r="I101" s="745"/>
      <c r="J101" s="748">
        <f>240.24/Wskaźniki!C11</f>
        <v>6651.1627906976746</v>
      </c>
      <c r="K101" s="745"/>
      <c r="L101" s="745"/>
      <c r="M101" s="745"/>
      <c r="N101" s="744"/>
      <c r="O101" s="744"/>
      <c r="P101" s="745"/>
    </row>
    <row r="102" spans="2:16">
      <c r="B102" s="108">
        <v>189</v>
      </c>
      <c r="C102" s="744" t="s">
        <v>879</v>
      </c>
      <c r="D102" s="745" t="s">
        <v>95</v>
      </c>
      <c r="E102" s="744">
        <v>2306</v>
      </c>
      <c r="F102" s="744"/>
      <c r="G102" s="744"/>
      <c r="H102" s="745"/>
      <c r="I102" s="745"/>
      <c r="J102" s="748">
        <f>551.7/Wskaźniki!C11</f>
        <v>15274.086378737544</v>
      </c>
      <c r="K102" s="745"/>
      <c r="L102" s="745"/>
      <c r="M102" s="745"/>
      <c r="N102" s="744"/>
      <c r="O102" s="744"/>
      <c r="P102" s="745"/>
    </row>
    <row r="103" spans="2:16">
      <c r="B103" s="108">
        <v>190</v>
      </c>
      <c r="C103" s="744" t="s">
        <v>880</v>
      </c>
      <c r="D103" s="745" t="s">
        <v>95</v>
      </c>
      <c r="E103" s="744">
        <v>2279.5</v>
      </c>
      <c r="F103" s="744"/>
      <c r="G103" s="744"/>
      <c r="H103" s="745"/>
      <c r="I103" s="745"/>
      <c r="J103" s="748">
        <f>615.95/Wskaźniki!C11</f>
        <v>17052.879291251385</v>
      </c>
      <c r="K103" s="745"/>
      <c r="L103" s="745"/>
      <c r="M103" s="745"/>
      <c r="N103" s="744"/>
      <c r="O103" s="744"/>
      <c r="P103" s="745"/>
    </row>
    <row r="104" spans="2:16">
      <c r="B104" s="108">
        <v>191</v>
      </c>
      <c r="C104" s="744" t="s">
        <v>881</v>
      </c>
      <c r="D104" s="745" t="s">
        <v>95</v>
      </c>
      <c r="E104" s="744">
        <v>1040.9000000000001</v>
      </c>
      <c r="F104" s="744"/>
      <c r="G104" s="744"/>
      <c r="H104" s="745"/>
      <c r="I104" s="745"/>
      <c r="J104" s="748">
        <f>317.37/Wskaźniki!C11</f>
        <v>8786.5448504983397</v>
      </c>
      <c r="K104" s="745"/>
      <c r="L104" s="745"/>
      <c r="M104" s="745"/>
      <c r="N104" s="744"/>
      <c r="O104" s="744"/>
      <c r="P104" s="745"/>
    </row>
    <row r="105" spans="2:16">
      <c r="B105" s="108">
        <v>192</v>
      </c>
      <c r="C105" s="744" t="s">
        <v>882</v>
      </c>
      <c r="D105" s="745" t="s">
        <v>95</v>
      </c>
      <c r="E105" s="744">
        <v>3009.7</v>
      </c>
      <c r="F105" s="744"/>
      <c r="G105" s="744"/>
      <c r="H105" s="745"/>
      <c r="I105" s="745"/>
      <c r="J105" s="748">
        <f>571.5/Wskaźniki!C11</f>
        <v>15822.259136212624</v>
      </c>
      <c r="K105" s="745"/>
      <c r="L105" s="745"/>
      <c r="M105" s="745"/>
      <c r="N105" s="744"/>
      <c r="O105" s="744"/>
      <c r="P105" s="745"/>
    </row>
    <row r="106" spans="2:16">
      <c r="B106" s="108">
        <v>193</v>
      </c>
      <c r="C106" s="744" t="s">
        <v>883</v>
      </c>
      <c r="D106" s="745" t="s">
        <v>95</v>
      </c>
      <c r="E106" s="744">
        <v>5862.6</v>
      </c>
      <c r="F106" s="744"/>
      <c r="G106" s="744"/>
      <c r="H106" s="745"/>
      <c r="I106" s="745"/>
      <c r="J106" s="748">
        <f>1590.2/Wskaźniki!C11</f>
        <v>44025.470653377633</v>
      </c>
      <c r="K106" s="745"/>
      <c r="L106" s="745"/>
      <c r="M106" s="745"/>
      <c r="N106" s="744"/>
      <c r="O106" s="744"/>
      <c r="P106" s="745"/>
    </row>
    <row r="107" spans="2:16">
      <c r="B107" s="108">
        <v>194</v>
      </c>
      <c r="C107" s="744" t="s">
        <v>884</v>
      </c>
      <c r="D107" s="745" t="s">
        <v>95</v>
      </c>
      <c r="E107" s="744">
        <v>1068</v>
      </c>
      <c r="F107" s="744"/>
      <c r="G107" s="744"/>
      <c r="H107" s="745"/>
      <c r="I107" s="745"/>
      <c r="J107" s="745"/>
      <c r="K107" s="745"/>
      <c r="L107" s="745"/>
      <c r="M107" s="745">
        <v>392.66</v>
      </c>
      <c r="N107" s="744"/>
      <c r="O107" s="744"/>
      <c r="P107" s="745"/>
    </row>
    <row r="108" spans="2:16">
      <c r="B108" s="108">
        <v>195</v>
      </c>
      <c r="C108" s="744" t="s">
        <v>885</v>
      </c>
      <c r="D108" s="745" t="s">
        <v>95</v>
      </c>
      <c r="E108" s="744">
        <v>1071</v>
      </c>
      <c r="F108" s="744"/>
      <c r="G108" s="744"/>
      <c r="H108" s="745"/>
      <c r="I108" s="745"/>
      <c r="J108" s="745"/>
      <c r="K108" s="745"/>
      <c r="L108" s="745"/>
      <c r="M108" s="745">
        <v>347.99</v>
      </c>
      <c r="N108" s="744"/>
      <c r="O108" s="744"/>
      <c r="P108" s="745"/>
    </row>
    <row r="109" spans="2:16">
      <c r="B109" s="108">
        <v>196</v>
      </c>
      <c r="C109" s="744" t="s">
        <v>886</v>
      </c>
      <c r="D109" s="745" t="s">
        <v>95</v>
      </c>
      <c r="E109" s="744">
        <v>2157.6</v>
      </c>
      <c r="F109" s="744"/>
      <c r="G109" s="744"/>
      <c r="H109" s="745"/>
      <c r="I109" s="745"/>
      <c r="J109" s="745"/>
      <c r="K109" s="745"/>
      <c r="L109" s="745"/>
      <c r="M109" s="745">
        <v>617.95000000000005</v>
      </c>
      <c r="N109" s="744"/>
      <c r="O109" s="744"/>
      <c r="P109" s="745"/>
    </row>
    <row r="110" spans="2:16">
      <c r="B110" s="108">
        <v>197</v>
      </c>
      <c r="C110" s="744" t="s">
        <v>887</v>
      </c>
      <c r="D110" s="745" t="s">
        <v>95</v>
      </c>
      <c r="E110" s="744">
        <v>1847.4</v>
      </c>
      <c r="F110" s="744"/>
      <c r="G110" s="744"/>
      <c r="H110" s="745"/>
      <c r="I110" s="745"/>
      <c r="J110" s="745"/>
      <c r="K110" s="745"/>
      <c r="L110" s="745"/>
      <c r="M110" s="745">
        <v>418.15</v>
      </c>
      <c r="N110" s="744"/>
      <c r="O110" s="744"/>
      <c r="P110" s="745"/>
    </row>
    <row r="111" spans="2:16">
      <c r="B111" s="108">
        <v>198</v>
      </c>
      <c r="C111" s="744" t="s">
        <v>888</v>
      </c>
      <c r="D111" s="745" t="s">
        <v>95</v>
      </c>
      <c r="E111" s="744">
        <v>2096.8000000000002</v>
      </c>
      <c r="F111" s="744"/>
      <c r="G111" s="744"/>
      <c r="H111" s="745"/>
      <c r="I111" s="745"/>
      <c r="J111" s="745"/>
      <c r="K111" s="745"/>
      <c r="L111" s="745"/>
      <c r="M111" s="745">
        <v>560.29999999999995</v>
      </c>
      <c r="N111" s="744"/>
      <c r="O111" s="744"/>
      <c r="P111" s="745"/>
    </row>
    <row r="112" spans="2:16">
      <c r="B112" s="108">
        <v>199</v>
      </c>
      <c r="C112" s="744" t="s">
        <v>889</v>
      </c>
      <c r="D112" s="745" t="s">
        <v>95</v>
      </c>
      <c r="E112" s="744">
        <v>1725.45</v>
      </c>
      <c r="F112" s="744"/>
      <c r="G112" s="744"/>
      <c r="H112" s="745"/>
      <c r="I112" s="745"/>
      <c r="J112" s="745"/>
      <c r="K112" s="745"/>
      <c r="L112" s="745"/>
      <c r="M112" s="745">
        <v>240.25</v>
      </c>
      <c r="N112" s="744"/>
      <c r="O112" s="744"/>
      <c r="P112" s="745"/>
    </row>
    <row r="113" spans="1:16">
      <c r="B113" s="108">
        <v>200</v>
      </c>
      <c r="C113" s="744" t="s">
        <v>890</v>
      </c>
      <c r="D113" s="745" t="s">
        <v>95</v>
      </c>
      <c r="E113" s="744">
        <v>1209.5</v>
      </c>
      <c r="F113" s="744"/>
      <c r="G113" s="744"/>
      <c r="H113" s="745"/>
      <c r="I113" s="745"/>
      <c r="J113" s="745"/>
      <c r="K113" s="745"/>
      <c r="L113" s="745"/>
      <c r="M113" s="745">
        <v>168.22</v>
      </c>
      <c r="N113" s="744"/>
      <c r="O113" s="744"/>
      <c r="P113" s="745"/>
    </row>
    <row r="114" spans="1:16">
      <c r="B114" s="108">
        <v>201</v>
      </c>
      <c r="C114" s="744" t="s">
        <v>891</v>
      </c>
      <c r="D114" s="745" t="s">
        <v>95</v>
      </c>
      <c r="E114" s="744">
        <v>6465.9</v>
      </c>
      <c r="F114" s="744"/>
      <c r="G114" s="744"/>
      <c r="H114" s="745"/>
      <c r="I114" s="745"/>
      <c r="J114" s="745"/>
      <c r="K114" s="745"/>
      <c r="L114" s="745"/>
      <c r="M114" s="745">
        <v>1660.82</v>
      </c>
      <c r="N114" s="744"/>
      <c r="O114" s="744"/>
      <c r="P114" s="745"/>
    </row>
    <row r="115" spans="1:16">
      <c r="B115" s="108">
        <v>202</v>
      </c>
      <c r="C115" s="744" t="s">
        <v>892</v>
      </c>
      <c r="D115" s="745" t="s">
        <v>95</v>
      </c>
      <c r="E115" s="744">
        <v>1844.5</v>
      </c>
      <c r="F115" s="744"/>
      <c r="G115" s="744"/>
      <c r="H115" s="745"/>
      <c r="I115" s="745"/>
      <c r="J115" s="745"/>
      <c r="K115" s="745"/>
      <c r="L115" s="745"/>
      <c r="M115" s="745">
        <v>255.27</v>
      </c>
      <c r="N115" s="744"/>
      <c r="O115" s="744"/>
      <c r="P115" s="745"/>
    </row>
    <row r="116" spans="1:16">
      <c r="B116" s="108">
        <v>203</v>
      </c>
      <c r="C116" s="744" t="s">
        <v>893</v>
      </c>
      <c r="D116" s="745" t="s">
        <v>95</v>
      </c>
      <c r="E116" s="744">
        <v>2183.5</v>
      </c>
      <c r="F116" s="744"/>
      <c r="G116" s="744"/>
      <c r="H116" s="745"/>
      <c r="I116" s="745"/>
      <c r="J116" s="745"/>
      <c r="K116" s="745"/>
      <c r="L116" s="745"/>
      <c r="M116" s="745">
        <v>391.54</v>
      </c>
      <c r="N116" s="744"/>
      <c r="O116" s="744"/>
      <c r="P116" s="745"/>
    </row>
    <row r="117" spans="1:16">
      <c r="B117" s="108">
        <v>204</v>
      </c>
      <c r="C117" s="744" t="s">
        <v>894</v>
      </c>
      <c r="D117" s="745" t="s">
        <v>95</v>
      </c>
      <c r="E117" s="744">
        <v>2183.5</v>
      </c>
      <c r="F117" s="744"/>
      <c r="G117" s="744"/>
      <c r="H117" s="745"/>
      <c r="I117" s="745"/>
      <c r="J117" s="745"/>
      <c r="K117" s="745"/>
      <c r="L117" s="745"/>
      <c r="M117" s="745">
        <v>463.92</v>
      </c>
      <c r="N117" s="744"/>
      <c r="O117" s="744"/>
      <c r="P117" s="745"/>
    </row>
    <row r="118" spans="1:16">
      <c r="B118" s="108">
        <v>205</v>
      </c>
      <c r="C118" s="744" t="s">
        <v>895</v>
      </c>
      <c r="D118" s="745" t="s">
        <v>95</v>
      </c>
      <c r="E118" s="744">
        <v>4311</v>
      </c>
      <c r="F118" s="744"/>
      <c r="G118" s="744"/>
      <c r="H118" s="745"/>
      <c r="I118" s="745"/>
      <c r="J118" s="745"/>
      <c r="K118" s="745"/>
      <c r="L118" s="745"/>
      <c r="M118" s="745">
        <v>883.96</v>
      </c>
      <c r="N118" s="744"/>
      <c r="O118" s="744"/>
      <c r="P118" s="745"/>
    </row>
    <row r="119" spans="1:16">
      <c r="B119" s="108">
        <v>206</v>
      </c>
      <c r="C119" s="744" t="s">
        <v>896</v>
      </c>
      <c r="D119" s="745" t="s">
        <v>95</v>
      </c>
      <c r="E119" s="744">
        <v>1126.8</v>
      </c>
      <c r="F119" s="744"/>
      <c r="G119" s="744"/>
      <c r="H119" s="745"/>
      <c r="I119" s="745"/>
      <c r="J119" s="748">
        <f>347.31/Wskaźniki!C11</f>
        <v>9615.4485049833893</v>
      </c>
      <c r="K119" s="745"/>
      <c r="L119" s="745"/>
      <c r="M119" s="745"/>
      <c r="N119" s="744"/>
      <c r="O119" s="744"/>
      <c r="P119" s="745"/>
    </row>
    <row r="120" spans="1:16">
      <c r="B120" s="108">
        <v>207</v>
      </c>
      <c r="C120" s="744" t="s">
        <v>870</v>
      </c>
      <c r="D120" s="745" t="s">
        <v>95</v>
      </c>
      <c r="E120" s="744">
        <v>1602</v>
      </c>
      <c r="F120" s="744"/>
      <c r="G120" s="744"/>
      <c r="H120" s="745"/>
      <c r="I120" s="745"/>
      <c r="J120" s="748"/>
      <c r="K120" s="745"/>
      <c r="L120" s="745"/>
      <c r="M120" s="745">
        <v>664.5</v>
      </c>
      <c r="N120" s="744"/>
      <c r="O120" s="744"/>
      <c r="P120" s="745"/>
    </row>
    <row r="121" spans="1:16" ht="15" thickBot="1">
      <c r="B121" s="248"/>
      <c r="C121" s="1098" t="s">
        <v>3</v>
      </c>
      <c r="D121" s="1099"/>
      <c r="E121" s="112">
        <f t="shared" ref="E121:M121" si="0">SUM(E6:E120)</f>
        <v>63282.700000000004</v>
      </c>
      <c r="F121" s="112">
        <f t="shared" si="0"/>
        <v>306</v>
      </c>
      <c r="G121" s="112">
        <f t="shared" si="0"/>
        <v>5561</v>
      </c>
      <c r="H121" s="112">
        <f t="shared" si="0"/>
        <v>197</v>
      </c>
      <c r="I121" s="112">
        <f t="shared" si="0"/>
        <v>221.37569999999999</v>
      </c>
      <c r="J121" s="112">
        <f t="shared" si="0"/>
        <v>338029.17497231456</v>
      </c>
      <c r="K121" s="112">
        <f t="shared" si="0"/>
        <v>73.813999999999993</v>
      </c>
      <c r="L121" s="112">
        <f t="shared" si="0"/>
        <v>73</v>
      </c>
      <c r="M121" s="112">
        <f t="shared" si="0"/>
        <v>7736.93</v>
      </c>
    </row>
    <row r="122" spans="1:16" ht="15">
      <c r="E122" s="521"/>
    </row>
    <row r="123" spans="1:16" ht="15">
      <c r="E123" s="521"/>
    </row>
    <row r="126" spans="1:16" ht="15">
      <c r="A126" s="132"/>
    </row>
  </sheetData>
  <mergeCells count="8">
    <mergeCell ref="P4:P5"/>
    <mergeCell ref="C121:D121"/>
    <mergeCell ref="B4:B5"/>
    <mergeCell ref="C4:C5"/>
    <mergeCell ref="D4:D5"/>
    <mergeCell ref="E4:G4"/>
    <mergeCell ref="H4:L4"/>
    <mergeCell ref="N4:O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P32"/>
  <sheetViews>
    <sheetView showGridLines="0" topLeftCell="A16" zoomScale="80" zoomScaleNormal="80" workbookViewId="0">
      <selection activeCell="G28" sqref="G28:H28"/>
    </sheetView>
  </sheetViews>
  <sheetFormatPr defaultRowHeight="14.25"/>
  <cols>
    <col min="1" max="1" width="4.625" style="171" customWidth="1"/>
    <col min="2" max="2" width="9" style="171"/>
    <col min="3" max="3" width="30.375" style="171" customWidth="1"/>
    <col min="4" max="12" width="16.125" style="171" customWidth="1"/>
    <col min="13" max="13" width="9" style="171"/>
    <col min="14" max="14" width="16.625" style="171" customWidth="1"/>
    <col min="15" max="15" width="12.625" style="171" customWidth="1"/>
    <col min="16" max="16" width="11.5" style="171" customWidth="1"/>
    <col min="17" max="16384" width="9" style="171"/>
  </cols>
  <sheetData>
    <row r="1" spans="2:16" ht="30" customHeight="1">
      <c r="B1" s="676" t="s">
        <v>609</v>
      </c>
    </row>
    <row r="2" spans="2:16" ht="66">
      <c r="B2" s="217" t="s">
        <v>103</v>
      </c>
      <c r="C2" s="218" t="s">
        <v>53</v>
      </c>
      <c r="D2" s="218" t="s">
        <v>345</v>
      </c>
      <c r="E2" s="218" t="s">
        <v>54</v>
      </c>
      <c r="F2" s="218" t="s">
        <v>55</v>
      </c>
      <c r="G2" s="218" t="s">
        <v>48</v>
      </c>
      <c r="H2" s="218" t="s">
        <v>210</v>
      </c>
      <c r="I2" s="218" t="s">
        <v>318</v>
      </c>
      <c r="J2" s="218" t="s">
        <v>346</v>
      </c>
      <c r="K2" s="218" t="s">
        <v>319</v>
      </c>
      <c r="L2" s="218" t="s">
        <v>347</v>
      </c>
      <c r="N2" s="206"/>
      <c r="O2" s="207" t="s">
        <v>67</v>
      </c>
      <c r="P2" s="207" t="s">
        <v>271</v>
      </c>
    </row>
    <row r="3" spans="2:16" ht="30">
      <c r="B3" s="1138" t="s">
        <v>272</v>
      </c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N3" s="140" t="s">
        <v>263</v>
      </c>
      <c r="O3" s="142" t="s">
        <v>269</v>
      </c>
      <c r="P3" s="145">
        <f>E28</f>
        <v>4446.58</v>
      </c>
    </row>
    <row r="4" spans="2:16" ht="42.75" customHeight="1">
      <c r="B4" s="1140">
        <v>1</v>
      </c>
      <c r="C4" s="1139" t="s">
        <v>120</v>
      </c>
      <c r="D4" s="1137">
        <v>24063</v>
      </c>
      <c r="E4" s="1137">
        <v>185</v>
      </c>
      <c r="F4" s="150" t="s">
        <v>2</v>
      </c>
      <c r="G4" s="150">
        <v>29889.9074</v>
      </c>
      <c r="H4" s="150">
        <f>G4*$C$32</f>
        <v>8279.5043498000014</v>
      </c>
      <c r="I4" s="176">
        <f>Wskaźniki!$C$7</f>
        <v>0.81200000000000006</v>
      </c>
      <c r="J4" s="1137">
        <f>E4*I4</f>
        <v>150.22</v>
      </c>
      <c r="K4" s="177">
        <f>Wskaźniki!$C$12</f>
        <v>5.5820000000000002E-2</v>
      </c>
      <c r="L4" s="150">
        <f>G4*K4</f>
        <v>1668.454631068</v>
      </c>
      <c r="N4" s="141" t="s">
        <v>264</v>
      </c>
      <c r="O4" s="142" t="s">
        <v>269</v>
      </c>
      <c r="P4" s="145">
        <f>H28</f>
        <v>28432.967127288204</v>
      </c>
    </row>
    <row r="5" spans="2:16" ht="39" customHeight="1">
      <c r="B5" s="1112"/>
      <c r="C5" s="1114"/>
      <c r="D5" s="1116"/>
      <c r="E5" s="1116"/>
      <c r="F5" s="150" t="s">
        <v>62</v>
      </c>
      <c r="G5" s="150">
        <v>6.8903999999999996</v>
      </c>
      <c r="H5" s="150">
        <f t="shared" ref="H5:H25" si="0">G5*$C$32</f>
        <v>1.9086408000000001</v>
      </c>
      <c r="I5" s="176">
        <f>Wskaźniki!$C$7</f>
        <v>0.81200000000000006</v>
      </c>
      <c r="J5" s="1116"/>
      <c r="K5" s="176">
        <f>Wskaźniki!$C$6</f>
        <v>0.22600000000000001</v>
      </c>
      <c r="L5" s="150">
        <f t="shared" ref="L5:L22" si="1">G5*K5</f>
        <v>1.5572303999999999</v>
      </c>
      <c r="N5" s="146" t="s">
        <v>267</v>
      </c>
      <c r="O5" s="143" t="s">
        <v>269</v>
      </c>
      <c r="P5" s="147">
        <f>P3+P4</f>
        <v>32879.547127288206</v>
      </c>
    </row>
    <row r="6" spans="2:16" ht="45">
      <c r="B6" s="151">
        <v>2</v>
      </c>
      <c r="C6" s="565" t="s">
        <v>119</v>
      </c>
      <c r="D6" s="150">
        <v>8602</v>
      </c>
      <c r="E6" s="150">
        <v>338.43</v>
      </c>
      <c r="F6" s="150" t="s">
        <v>2</v>
      </c>
      <c r="G6" s="150">
        <v>6.3274227999999999</v>
      </c>
      <c r="H6" s="150">
        <f t="shared" si="0"/>
        <v>1.7526961156</v>
      </c>
      <c r="I6" s="176">
        <f>Wskaźniki!$C$7</f>
        <v>0.81200000000000006</v>
      </c>
      <c r="J6" s="150">
        <f>E6*I6</f>
        <v>274.80516</v>
      </c>
      <c r="K6" s="177">
        <f>Wskaźniki!$C$12</f>
        <v>5.5820000000000002E-2</v>
      </c>
      <c r="L6" s="150">
        <f t="shared" si="1"/>
        <v>0.35319674069599999</v>
      </c>
      <c r="N6" s="141" t="s">
        <v>265</v>
      </c>
      <c r="O6" s="142" t="s">
        <v>270</v>
      </c>
      <c r="P6" s="145">
        <f>J28</f>
        <v>3610.6229599999997</v>
      </c>
    </row>
    <row r="7" spans="2:16" ht="45">
      <c r="B7" s="151">
        <v>3</v>
      </c>
      <c r="C7" s="565" t="s">
        <v>257</v>
      </c>
      <c r="D7" s="150">
        <v>8084</v>
      </c>
      <c r="E7" s="150">
        <v>370.56</v>
      </c>
      <c r="F7" s="150" t="s">
        <v>2</v>
      </c>
      <c r="G7" s="150">
        <v>8330.8058000000001</v>
      </c>
      <c r="H7" s="150">
        <f>G7*$C$32</f>
        <v>2307.6332066000004</v>
      </c>
      <c r="I7" s="176">
        <f>Wskaźniki!$C$7</f>
        <v>0.81200000000000006</v>
      </c>
      <c r="J7" s="150">
        <f t="shared" ref="J7:J22" si="2">E7*I7</f>
        <v>300.89472000000001</v>
      </c>
      <c r="K7" s="177">
        <f>Wskaźniki!$C$12</f>
        <v>5.5820000000000002E-2</v>
      </c>
      <c r="L7" s="150">
        <f t="shared" si="1"/>
        <v>465.02557975600001</v>
      </c>
      <c r="N7" s="141" t="s">
        <v>266</v>
      </c>
      <c r="O7" s="142" t="s">
        <v>270</v>
      </c>
      <c r="P7" s="145">
        <f>L28</f>
        <v>5733.5467522287772</v>
      </c>
    </row>
    <row r="8" spans="2:16" ht="30">
      <c r="B8" s="151">
        <v>4</v>
      </c>
      <c r="C8" s="565" t="s">
        <v>222</v>
      </c>
      <c r="D8" s="150">
        <v>3300</v>
      </c>
      <c r="E8" s="150" t="s">
        <v>274</v>
      </c>
      <c r="F8" s="150" t="s">
        <v>2</v>
      </c>
      <c r="G8" s="150" t="s">
        <v>274</v>
      </c>
      <c r="H8" s="150" t="s">
        <v>274</v>
      </c>
      <c r="I8" s="176">
        <f>Wskaźniki!$C$7</f>
        <v>0.81200000000000006</v>
      </c>
      <c r="J8" s="150" t="s">
        <v>274</v>
      </c>
      <c r="K8" s="177">
        <f>Wskaźniki!$C$12</f>
        <v>5.5820000000000002E-2</v>
      </c>
      <c r="L8" s="150">
        <v>0</v>
      </c>
      <c r="N8" s="146" t="s">
        <v>268</v>
      </c>
      <c r="O8" s="143" t="s">
        <v>270</v>
      </c>
      <c r="P8" s="147">
        <f>P6+P7</f>
        <v>9344.1697122287769</v>
      </c>
    </row>
    <row r="9" spans="2:16" ht="57">
      <c r="B9" s="151">
        <v>5</v>
      </c>
      <c r="C9" s="565" t="s">
        <v>223</v>
      </c>
      <c r="D9" s="150">
        <v>16826</v>
      </c>
      <c r="E9" s="150">
        <v>2</v>
      </c>
      <c r="F9" s="150" t="s">
        <v>2</v>
      </c>
      <c r="G9" s="150">
        <v>14920</v>
      </c>
      <c r="H9" s="150">
        <f t="shared" si="0"/>
        <v>4132.84</v>
      </c>
      <c r="I9" s="176">
        <f>Wskaźniki!$C$7</f>
        <v>0.81200000000000006</v>
      </c>
      <c r="J9" s="150">
        <f t="shared" si="2"/>
        <v>1.6240000000000001</v>
      </c>
      <c r="K9" s="177">
        <f>Wskaźniki!$C$12</f>
        <v>5.5820000000000002E-2</v>
      </c>
      <c r="L9" s="150">
        <f t="shared" si="1"/>
        <v>832.83440000000007</v>
      </c>
    </row>
    <row r="10" spans="2:16" ht="49.5" customHeight="1">
      <c r="B10" s="151">
        <v>6</v>
      </c>
      <c r="C10" s="565" t="s">
        <v>220</v>
      </c>
      <c r="D10" s="150">
        <v>2120.23</v>
      </c>
      <c r="E10" s="150" t="s">
        <v>274</v>
      </c>
      <c r="F10" s="150" t="s">
        <v>274</v>
      </c>
      <c r="G10" s="150" t="s">
        <v>274</v>
      </c>
      <c r="H10" s="150" t="s">
        <v>274</v>
      </c>
      <c r="I10" s="176">
        <f>Wskaźniki!$C$7</f>
        <v>0.81200000000000006</v>
      </c>
      <c r="J10" s="150" t="s">
        <v>274</v>
      </c>
      <c r="K10" s="177">
        <f>Wskaźniki!$C$12</f>
        <v>5.5820000000000002E-2</v>
      </c>
      <c r="L10" s="150">
        <v>0</v>
      </c>
      <c r="N10" s="171" t="s">
        <v>41</v>
      </c>
      <c r="O10" s="662">
        <f>H4+H6+H7+H9+H11+H13+H14+H15+H16+H17+H18+H19+H20+H21+H22+H24</f>
        <v>28193.196446488204</v>
      </c>
    </row>
    <row r="11" spans="2:16" ht="71.25">
      <c r="B11" s="151">
        <v>7</v>
      </c>
      <c r="C11" s="565" t="s">
        <v>218</v>
      </c>
      <c r="D11" s="150">
        <v>3211.38</v>
      </c>
      <c r="E11" s="150">
        <v>86</v>
      </c>
      <c r="F11" s="150" t="s">
        <v>2</v>
      </c>
      <c r="G11" s="150">
        <v>5193.5028000000002</v>
      </c>
      <c r="H11" s="150">
        <f t="shared" si="0"/>
        <v>1438.6002756000003</v>
      </c>
      <c r="I11" s="176">
        <f>Wskaźniki!$C$7</f>
        <v>0.81200000000000006</v>
      </c>
      <c r="J11" s="150">
        <f t="shared" si="2"/>
        <v>69.832000000000008</v>
      </c>
      <c r="K11" s="177">
        <f>Wskaźniki!$C$12</f>
        <v>5.5820000000000002E-2</v>
      </c>
      <c r="L11" s="150">
        <f t="shared" si="1"/>
        <v>289.90132629600004</v>
      </c>
    </row>
    <row r="12" spans="2:16" ht="28.5">
      <c r="B12" s="151">
        <v>8</v>
      </c>
      <c r="C12" s="565" t="s">
        <v>216</v>
      </c>
      <c r="D12" s="150">
        <v>150</v>
      </c>
      <c r="E12" s="150">
        <v>41</v>
      </c>
      <c r="F12" s="150" t="s">
        <v>44</v>
      </c>
      <c r="G12" s="150">
        <v>128.52000000000001</v>
      </c>
      <c r="H12" s="150">
        <f t="shared" si="0"/>
        <v>35.600040000000007</v>
      </c>
      <c r="I12" s="176">
        <f>Wskaźniki!$C$7</f>
        <v>0.81200000000000006</v>
      </c>
      <c r="J12" s="150">
        <f t="shared" si="2"/>
        <v>33.292000000000002</v>
      </c>
      <c r="K12" s="177">
        <f>Wskaźniki!$C$9</f>
        <v>7.6590000000000005E-2</v>
      </c>
      <c r="L12" s="150">
        <f t="shared" si="1"/>
        <v>9.8433468000000008</v>
      </c>
    </row>
    <row r="13" spans="2:16" ht="28.5">
      <c r="B13" s="151">
        <v>9</v>
      </c>
      <c r="C13" s="565" t="s">
        <v>126</v>
      </c>
      <c r="D13" s="150">
        <v>3513</v>
      </c>
      <c r="E13" s="150">
        <v>231.54</v>
      </c>
      <c r="F13" s="150" t="s">
        <v>2</v>
      </c>
      <c r="G13" s="150">
        <v>3628.5439999999999</v>
      </c>
      <c r="H13" s="150">
        <f t="shared" si="0"/>
        <v>1005.1066880000001</v>
      </c>
      <c r="I13" s="176">
        <f>Wskaźniki!$C$7</f>
        <v>0.81200000000000006</v>
      </c>
      <c r="J13" s="150">
        <f t="shared" si="2"/>
        <v>188.01048</v>
      </c>
      <c r="K13" s="177">
        <f>Wskaźniki!$C$12</f>
        <v>5.5820000000000002E-2</v>
      </c>
      <c r="L13" s="150">
        <f t="shared" si="1"/>
        <v>202.54532608</v>
      </c>
    </row>
    <row r="14" spans="2:16" ht="28.5">
      <c r="B14" s="151">
        <v>10</v>
      </c>
      <c r="C14" s="565" t="s">
        <v>121</v>
      </c>
      <c r="D14" s="150">
        <v>4387</v>
      </c>
      <c r="E14" s="150">
        <v>170.08</v>
      </c>
      <c r="F14" s="150" t="s">
        <v>2</v>
      </c>
      <c r="G14" s="150">
        <v>3.7600637999999997</v>
      </c>
      <c r="H14" s="150">
        <f t="shared" si="0"/>
        <v>1.0415376726000001</v>
      </c>
      <c r="I14" s="176">
        <f>Wskaźniki!$C$7</f>
        <v>0.81200000000000006</v>
      </c>
      <c r="J14" s="150">
        <f t="shared" si="2"/>
        <v>138.10496000000001</v>
      </c>
      <c r="K14" s="177">
        <f>Wskaźniki!$C$12</f>
        <v>5.5820000000000002E-2</v>
      </c>
      <c r="L14" s="150">
        <f t="shared" si="1"/>
        <v>0.20988676131599998</v>
      </c>
    </row>
    <row r="15" spans="2:16" ht="42.75">
      <c r="B15" s="151">
        <v>11</v>
      </c>
      <c r="C15" s="566" t="s">
        <v>200</v>
      </c>
      <c r="D15" s="150">
        <v>3850</v>
      </c>
      <c r="E15" s="150">
        <v>200</v>
      </c>
      <c r="F15" s="150" t="s">
        <v>2</v>
      </c>
      <c r="G15" s="150">
        <v>3058.6</v>
      </c>
      <c r="H15" s="150">
        <f t="shared" si="0"/>
        <v>847.23220000000003</v>
      </c>
      <c r="I15" s="176">
        <f>Wskaźniki!$C$7</f>
        <v>0.81200000000000006</v>
      </c>
      <c r="J15" s="150">
        <f t="shared" si="2"/>
        <v>162.4</v>
      </c>
      <c r="K15" s="177">
        <f>Wskaźniki!$C$12</f>
        <v>5.5820000000000002E-2</v>
      </c>
      <c r="L15" s="150">
        <f t="shared" si="1"/>
        <v>170.73105200000001</v>
      </c>
    </row>
    <row r="16" spans="2:16" ht="42.75">
      <c r="B16" s="151">
        <v>12</v>
      </c>
      <c r="C16" s="565" t="s">
        <v>221</v>
      </c>
      <c r="D16" s="150">
        <v>3826</v>
      </c>
      <c r="E16" s="150">
        <v>237</v>
      </c>
      <c r="F16" s="150" t="s">
        <v>2</v>
      </c>
      <c r="G16" s="150">
        <v>3724.7406999999998</v>
      </c>
      <c r="H16" s="150">
        <f t="shared" si="0"/>
        <v>1031.7531739000001</v>
      </c>
      <c r="I16" s="176">
        <f>Wskaźniki!$C$7</f>
        <v>0.81200000000000006</v>
      </c>
      <c r="J16" s="150">
        <f t="shared" si="2"/>
        <v>192.44400000000002</v>
      </c>
      <c r="K16" s="177">
        <f>Wskaźniki!$C$12</f>
        <v>5.5820000000000002E-2</v>
      </c>
      <c r="L16" s="150">
        <f t="shared" si="1"/>
        <v>207.91502587400001</v>
      </c>
    </row>
    <row r="17" spans="2:12" ht="28.5">
      <c r="B17" s="151">
        <v>13</v>
      </c>
      <c r="C17" s="565" t="s">
        <v>224</v>
      </c>
      <c r="D17" s="150">
        <v>12300</v>
      </c>
      <c r="E17" s="150">
        <f>615*0.7</f>
        <v>430.5</v>
      </c>
      <c r="F17" s="150" t="s">
        <v>2</v>
      </c>
      <c r="G17" s="150">
        <f>10084.801*0.7</f>
        <v>7059.3606999999993</v>
      </c>
      <c r="H17" s="150">
        <f t="shared" si="0"/>
        <v>1955.4429138999999</v>
      </c>
      <c r="I17" s="176">
        <f>Wskaźniki!$C$7</f>
        <v>0.81200000000000006</v>
      </c>
      <c r="J17" s="150">
        <f t="shared" si="2"/>
        <v>349.56600000000003</v>
      </c>
      <c r="K17" s="177">
        <f>Wskaźniki!$C$12</f>
        <v>5.5820000000000002E-2</v>
      </c>
      <c r="L17" s="150">
        <f t="shared" si="1"/>
        <v>394.05351427399995</v>
      </c>
    </row>
    <row r="18" spans="2:12" ht="28.5">
      <c r="B18" s="151">
        <v>14</v>
      </c>
      <c r="C18" s="565" t="s">
        <v>219</v>
      </c>
      <c r="D18" s="150">
        <v>6330.73</v>
      </c>
      <c r="E18" s="150">
        <v>570</v>
      </c>
      <c r="F18" s="150" t="s">
        <v>2</v>
      </c>
      <c r="G18" s="150">
        <v>7405.7285000000002</v>
      </c>
      <c r="H18" s="150">
        <f t="shared" si="0"/>
        <v>2051.3867945000002</v>
      </c>
      <c r="I18" s="176">
        <f>Wskaźniki!$C$7</f>
        <v>0.81200000000000006</v>
      </c>
      <c r="J18" s="150">
        <f t="shared" si="2"/>
        <v>462.84000000000003</v>
      </c>
      <c r="K18" s="177">
        <f>Wskaźniki!$C$12</f>
        <v>5.5820000000000002E-2</v>
      </c>
      <c r="L18" s="150">
        <f t="shared" si="1"/>
        <v>413.38776487000001</v>
      </c>
    </row>
    <row r="19" spans="2:12" ht="57">
      <c r="B19" s="151">
        <v>15</v>
      </c>
      <c r="C19" s="565" t="s">
        <v>217</v>
      </c>
      <c r="D19" s="150">
        <v>5029</v>
      </c>
      <c r="E19" s="150">
        <v>189</v>
      </c>
      <c r="F19" s="150" t="s">
        <v>2</v>
      </c>
      <c r="G19" s="150">
        <v>3121.7489</v>
      </c>
      <c r="H19" s="150">
        <f t="shared" si="0"/>
        <v>864.72444530000007</v>
      </c>
      <c r="I19" s="176">
        <f>Wskaźniki!$C$7</f>
        <v>0.81200000000000006</v>
      </c>
      <c r="J19" s="150">
        <f t="shared" si="2"/>
        <v>153.46800000000002</v>
      </c>
      <c r="K19" s="177">
        <f>Wskaźniki!$C$12</f>
        <v>5.5820000000000002E-2</v>
      </c>
      <c r="L19" s="150">
        <f t="shared" si="1"/>
        <v>174.25602359800001</v>
      </c>
    </row>
    <row r="20" spans="2:12" ht="28.5">
      <c r="B20" s="151">
        <v>16</v>
      </c>
      <c r="C20" s="565" t="s">
        <v>273</v>
      </c>
      <c r="D20" s="150">
        <v>13077</v>
      </c>
      <c r="E20" s="150">
        <v>771</v>
      </c>
      <c r="F20" s="150" t="s">
        <v>2</v>
      </c>
      <c r="G20" s="150">
        <v>10662.615299999999</v>
      </c>
      <c r="H20" s="150">
        <f t="shared" si="0"/>
        <v>2953.5444381000002</v>
      </c>
      <c r="I20" s="176">
        <f>Wskaźniki!$C$7</f>
        <v>0.81200000000000006</v>
      </c>
      <c r="J20" s="150">
        <f t="shared" si="2"/>
        <v>626.05200000000002</v>
      </c>
      <c r="K20" s="177">
        <f>Wskaźniki!$C$12</f>
        <v>5.5820000000000002E-2</v>
      </c>
      <c r="L20" s="150">
        <f t="shared" si="1"/>
        <v>595.18718604599997</v>
      </c>
    </row>
    <row r="21" spans="2:12" ht="28.5">
      <c r="B21" s="151">
        <v>17</v>
      </c>
      <c r="C21" s="565" t="s">
        <v>259</v>
      </c>
      <c r="D21" s="150">
        <v>4193.26</v>
      </c>
      <c r="E21" s="150">
        <v>356</v>
      </c>
      <c r="F21" s="150" t="s">
        <v>2</v>
      </c>
      <c r="G21" s="150">
        <v>4060.8510000000001</v>
      </c>
      <c r="H21" s="150">
        <f t="shared" si="0"/>
        <v>1124.8557270000001</v>
      </c>
      <c r="I21" s="176">
        <f>Wskaźniki!$C$7</f>
        <v>0.81200000000000006</v>
      </c>
      <c r="J21" s="150">
        <f t="shared" si="2"/>
        <v>289.072</v>
      </c>
      <c r="K21" s="177">
        <f>Wskaźniki!$C$12</f>
        <v>5.5820000000000002E-2</v>
      </c>
      <c r="L21" s="150">
        <f t="shared" si="1"/>
        <v>226.67670282</v>
      </c>
    </row>
    <row r="22" spans="2:12" ht="42.75">
      <c r="B22" s="691">
        <v>18</v>
      </c>
      <c r="C22" s="692" t="s">
        <v>622</v>
      </c>
      <c r="D22" s="693">
        <v>667.35</v>
      </c>
      <c r="E22" s="693">
        <v>33</v>
      </c>
      <c r="F22" s="693" t="s">
        <v>2</v>
      </c>
      <c r="G22" s="693">
        <v>646</v>
      </c>
      <c r="H22" s="693">
        <f t="shared" si="0"/>
        <v>178.94200000000001</v>
      </c>
      <c r="I22" s="176">
        <f>Wskaźniki!$C$7</f>
        <v>0.81200000000000006</v>
      </c>
      <c r="J22" s="150">
        <f t="shared" si="2"/>
        <v>26.796000000000003</v>
      </c>
      <c r="K22" s="177">
        <f>Wskaźniki!$C$12</f>
        <v>5.5820000000000002E-2</v>
      </c>
      <c r="L22" s="150">
        <f t="shared" si="1"/>
        <v>36.059719999999999</v>
      </c>
    </row>
    <row r="23" spans="2:12" ht="28.5">
      <c r="B23" s="151">
        <v>19</v>
      </c>
      <c r="C23" s="692" t="s">
        <v>865</v>
      </c>
      <c r="D23" s="693">
        <f>158+64</f>
        <v>222</v>
      </c>
      <c r="E23" s="693">
        <v>0.42</v>
      </c>
      <c r="F23" s="693" t="s">
        <v>869</v>
      </c>
      <c r="G23" s="693">
        <v>110</v>
      </c>
      <c r="H23" s="693">
        <f t="shared" si="0"/>
        <v>30.470000000000002</v>
      </c>
      <c r="I23" s="176">
        <f>Wskaźniki!$C$7</f>
        <v>0.81200000000000006</v>
      </c>
      <c r="J23" s="150">
        <f>E23*I23</f>
        <v>0.34104000000000001</v>
      </c>
      <c r="K23" s="177">
        <f>Wskaźniki!$C$12</f>
        <v>5.5820000000000002E-2</v>
      </c>
      <c r="L23" s="150">
        <f>G23*K23</f>
        <v>6.1402000000000001</v>
      </c>
    </row>
    <row r="24" spans="2:12" ht="15">
      <c r="B24" s="691">
        <v>20</v>
      </c>
      <c r="C24" s="692" t="s">
        <v>866</v>
      </c>
      <c r="D24" s="693">
        <v>184</v>
      </c>
      <c r="E24" s="693">
        <v>38.4</v>
      </c>
      <c r="F24" s="693" t="s">
        <v>2</v>
      </c>
      <c r="G24" s="693">
        <v>68</v>
      </c>
      <c r="H24" s="693">
        <f t="shared" si="0"/>
        <v>18.836000000000002</v>
      </c>
      <c r="I24" s="176">
        <f>Wskaźniki!$C$7</f>
        <v>0.81200000000000006</v>
      </c>
      <c r="J24" s="150">
        <f>E24*I24</f>
        <v>31.180800000000001</v>
      </c>
      <c r="K24" s="177">
        <f>Wskaźniki!$C$12</f>
        <v>5.5820000000000002E-2</v>
      </c>
      <c r="L24" s="150">
        <f>G24*K24</f>
        <v>3.79576</v>
      </c>
    </row>
    <row r="25" spans="2:12" ht="15">
      <c r="B25" s="151">
        <v>21</v>
      </c>
      <c r="C25" s="692" t="s">
        <v>867</v>
      </c>
      <c r="D25" s="693">
        <v>110</v>
      </c>
      <c r="E25" s="693">
        <v>0.05</v>
      </c>
      <c r="F25" s="693" t="s">
        <v>869</v>
      </c>
      <c r="G25" s="693">
        <v>16</v>
      </c>
      <c r="H25" s="693">
        <f t="shared" si="0"/>
        <v>4.4320000000000004</v>
      </c>
      <c r="I25" s="176">
        <f>Wskaźniki!$C$7</f>
        <v>0.81200000000000006</v>
      </c>
      <c r="J25" s="150">
        <f>E25*I25</f>
        <v>4.0600000000000004E-2</v>
      </c>
      <c r="K25" s="177">
        <f>Wskaźniki!$C$12</f>
        <v>5.5820000000000002E-2</v>
      </c>
      <c r="L25" s="150">
        <f>G25*K25</f>
        <v>0.89312000000000002</v>
      </c>
    </row>
    <row r="26" spans="2:12" ht="15">
      <c r="B26" s="691">
        <v>22</v>
      </c>
      <c r="C26" s="692" t="s">
        <v>868</v>
      </c>
      <c r="D26" s="693">
        <v>1010</v>
      </c>
      <c r="E26" s="693">
        <v>196.6</v>
      </c>
      <c r="F26" s="693" t="s">
        <v>91</v>
      </c>
      <c r="G26" s="693">
        <f>H26/C32</f>
        <v>604.1877256317689</v>
      </c>
      <c r="H26" s="693">
        <v>167.36</v>
      </c>
      <c r="I26" s="176">
        <f>Wskaźniki!$C$7</f>
        <v>0.81200000000000006</v>
      </c>
      <c r="J26" s="150">
        <f>E26*I26</f>
        <v>159.63920000000002</v>
      </c>
      <c r="K26" s="177">
        <f>Wskaźniki!$C$12</f>
        <v>5.5820000000000002E-2</v>
      </c>
      <c r="L26" s="150">
        <f>G26*K26</f>
        <v>33.725758844765338</v>
      </c>
    </row>
    <row r="27" spans="2:12" ht="15">
      <c r="B27" s="691">
        <v>23</v>
      </c>
      <c r="C27" s="692"/>
      <c r="D27" s="693"/>
      <c r="E27" s="693"/>
      <c r="F27" s="693"/>
      <c r="G27" s="693"/>
      <c r="H27" s="693"/>
      <c r="I27" s="176"/>
      <c r="J27" s="150"/>
      <c r="K27" s="177"/>
      <c r="L27" s="150"/>
    </row>
    <row r="28" spans="2:12" ht="15">
      <c r="B28" s="151"/>
      <c r="C28" s="148" t="s">
        <v>3</v>
      </c>
      <c r="D28" s="178">
        <f>SUM(D4:D27)</f>
        <v>125055.95</v>
      </c>
      <c r="E28" s="178">
        <f>SUM(E4:E27)</f>
        <v>4446.58</v>
      </c>
      <c r="F28" s="179"/>
      <c r="G28" s="178">
        <f>SUM(G4:G27)</f>
        <v>102646.09071223177</v>
      </c>
      <c r="H28" s="178">
        <f>SUM(H4:H27)</f>
        <v>28432.967127288204</v>
      </c>
      <c r="I28" s="180"/>
      <c r="J28" s="178">
        <f>SUM(J4:J27)</f>
        <v>3610.6229599999997</v>
      </c>
      <c r="K28" s="179"/>
      <c r="L28" s="147">
        <f>SUM(L4:L27)</f>
        <v>5733.5467522287772</v>
      </c>
    </row>
    <row r="30" spans="2:12">
      <c r="B30" s="1136" t="s">
        <v>211</v>
      </c>
      <c r="C30" s="1136"/>
      <c r="D30" s="1136"/>
    </row>
    <row r="31" spans="2:12">
      <c r="B31" s="152" t="s">
        <v>212</v>
      </c>
      <c r="C31" s="174">
        <v>3.6</v>
      </c>
      <c r="D31" s="153" t="s">
        <v>207</v>
      </c>
    </row>
    <row r="32" spans="2:12">
      <c r="B32" s="152" t="s">
        <v>213</v>
      </c>
      <c r="C32" s="175">
        <v>0.27700000000000002</v>
      </c>
      <c r="D32" s="153" t="s">
        <v>214</v>
      </c>
    </row>
  </sheetData>
  <mergeCells count="7">
    <mergeCell ref="B30:D30"/>
    <mergeCell ref="J4:J5"/>
    <mergeCell ref="B3:L3"/>
    <mergeCell ref="C4:C5"/>
    <mergeCell ref="D4:D5"/>
    <mergeCell ref="E4:E5"/>
    <mergeCell ref="B4:B5"/>
  </mergeCells>
  <pageMargins left="0.7" right="0.7" top="0.75" bottom="0.75" header="0.3" footer="0.3"/>
  <pageSetup paperSize="9" orientation="portrait" r:id="rId1"/>
  <ignoredErrors>
    <ignoredError sqref="K4 K6:K7 K9 K11:K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F31"/>
  <sheetViews>
    <sheetView view="pageBreakPreview" topLeftCell="A10" zoomScaleNormal="80" zoomScaleSheetLayoutView="100" workbookViewId="0">
      <selection activeCell="C13" sqref="C13"/>
    </sheetView>
  </sheetViews>
  <sheetFormatPr defaultRowHeight="15"/>
  <cols>
    <col min="1" max="1" width="2.5" style="6" customWidth="1"/>
    <col min="2" max="2" width="26.125" style="6" bestFit="1" customWidth="1"/>
    <col min="3" max="4" width="13.625" style="6" customWidth="1"/>
    <col min="5" max="5" width="43" style="83" customWidth="1"/>
    <col min="6" max="6" width="51.375" style="6" customWidth="1"/>
    <col min="7" max="7" width="2.5" style="6" customWidth="1"/>
    <col min="8" max="8" width="9.125" style="6" bestFit="1" customWidth="1"/>
    <col min="9" max="9" width="12.75" style="6" customWidth="1"/>
    <col min="10" max="10" width="13.75" style="6" customWidth="1"/>
    <col min="11" max="11" width="18" style="6" customWidth="1"/>
    <col min="12" max="12" width="13.5" style="6" bestFit="1" customWidth="1"/>
    <col min="13" max="13" width="9" style="6" customWidth="1"/>
    <col min="14" max="14" width="11.625" style="6" customWidth="1"/>
    <col min="15" max="15" width="9" style="6" customWidth="1"/>
    <col min="16" max="18" width="11.625" style="6" customWidth="1"/>
    <col min="19" max="19" width="9" style="6" customWidth="1"/>
    <col min="20" max="16384" width="9" style="6"/>
  </cols>
  <sheetData>
    <row r="1" spans="2:6" s="9" customFormat="1" ht="15" customHeight="1" thickBot="1">
      <c r="E1" s="82"/>
    </row>
    <row r="2" spans="2:6" s="9" customFormat="1" ht="19.5" thickBot="1">
      <c r="B2" s="10" t="s">
        <v>56</v>
      </c>
      <c r="C2" s="11"/>
      <c r="D2" s="11"/>
      <c r="E2" s="12"/>
    </row>
    <row r="3" spans="2:6" s="9" customFormat="1" ht="15" customHeight="1" thickBot="1">
      <c r="E3" s="82"/>
    </row>
    <row r="4" spans="2:6" s="9" customFormat="1" ht="15" customHeight="1" thickBot="1">
      <c r="B4" s="68" t="s">
        <v>70</v>
      </c>
      <c r="E4" s="82"/>
    </row>
    <row r="5" spans="2:6" ht="30">
      <c r="B5" s="69"/>
      <c r="C5" s="78" t="s">
        <v>87</v>
      </c>
      <c r="D5" s="78" t="s">
        <v>67</v>
      </c>
      <c r="E5" s="70" t="s">
        <v>61</v>
      </c>
      <c r="F5" s="9"/>
    </row>
    <row r="6" spans="2:6" ht="60">
      <c r="B6" s="71" t="s">
        <v>57</v>
      </c>
      <c r="C6" s="79">
        <v>0.22600000000000001</v>
      </c>
      <c r="D6" s="79" t="s">
        <v>68</v>
      </c>
      <c r="E6" s="77" t="s">
        <v>74</v>
      </c>
    </row>
    <row r="7" spans="2:6" ht="60">
      <c r="B7" s="71" t="s">
        <v>57</v>
      </c>
      <c r="C7" s="79">
        <v>0.81200000000000006</v>
      </c>
      <c r="D7" s="79" t="s">
        <v>75</v>
      </c>
      <c r="E7" s="77" t="s">
        <v>74</v>
      </c>
    </row>
    <row r="8" spans="2:6" ht="45">
      <c r="B8" s="71" t="s">
        <v>58</v>
      </c>
      <c r="C8" s="80">
        <v>9.4729999999999995E-2</v>
      </c>
      <c r="D8" s="79" t="s">
        <v>68</v>
      </c>
      <c r="E8" s="88" t="s">
        <v>76</v>
      </c>
    </row>
    <row r="9" spans="2:6" ht="45">
      <c r="B9" s="71" t="s">
        <v>59</v>
      </c>
      <c r="C9" s="80">
        <v>7.6590000000000005E-2</v>
      </c>
      <c r="D9" s="79" t="s">
        <v>68</v>
      </c>
      <c r="E9" s="88" t="s">
        <v>76</v>
      </c>
    </row>
    <row r="10" spans="2:6" ht="45">
      <c r="B10" s="71" t="s">
        <v>59</v>
      </c>
      <c r="C10" s="535">
        <v>3.5700000000000003E-2</v>
      </c>
      <c r="D10" s="79" t="s">
        <v>505</v>
      </c>
      <c r="E10" s="88" t="s">
        <v>76</v>
      </c>
    </row>
    <row r="11" spans="2:6" ht="45">
      <c r="B11" s="71" t="s">
        <v>41</v>
      </c>
      <c r="C11" s="80">
        <v>3.6119999999999999E-2</v>
      </c>
      <c r="D11" s="79" t="s">
        <v>78</v>
      </c>
      <c r="E11" s="88" t="s">
        <v>76</v>
      </c>
    </row>
    <row r="12" spans="2:6" ht="45">
      <c r="B12" s="71" t="s">
        <v>41</v>
      </c>
      <c r="C12" s="80">
        <v>5.5820000000000002E-2</v>
      </c>
      <c r="D12" s="79" t="s">
        <v>68</v>
      </c>
      <c r="E12" s="88" t="s">
        <v>76</v>
      </c>
    </row>
    <row r="13" spans="2:6" ht="42.75" customHeight="1">
      <c r="B13" s="71" t="s">
        <v>60</v>
      </c>
      <c r="C13" s="80">
        <v>0.09</v>
      </c>
      <c r="D13" s="79" t="s">
        <v>68</v>
      </c>
      <c r="E13" s="88" t="s">
        <v>73</v>
      </c>
    </row>
    <row r="14" spans="2:6" ht="45">
      <c r="B14" s="71" t="s">
        <v>79</v>
      </c>
      <c r="C14" s="72">
        <v>4.7309999999999998E-2</v>
      </c>
      <c r="D14" s="79" t="s">
        <v>80</v>
      </c>
      <c r="E14" s="88" t="s">
        <v>76</v>
      </c>
    </row>
    <row r="15" spans="2:6" ht="45">
      <c r="B15" s="71" t="s">
        <v>79</v>
      </c>
      <c r="C15" s="80">
        <v>6.2440000000000002E-2</v>
      </c>
      <c r="D15" s="79" t="s">
        <v>68</v>
      </c>
      <c r="E15" s="88" t="s">
        <v>76</v>
      </c>
    </row>
    <row r="16" spans="2:6" ht="45">
      <c r="B16" s="71" t="s">
        <v>79</v>
      </c>
      <c r="C16" s="72">
        <v>0.56200000000000006</v>
      </c>
      <c r="D16" s="79" t="s">
        <v>85</v>
      </c>
      <c r="E16" s="88" t="s">
        <v>84</v>
      </c>
    </row>
    <row r="17" spans="2:5" ht="45">
      <c r="B17" s="71" t="s">
        <v>19</v>
      </c>
      <c r="C17" s="80">
        <v>4.48E-2</v>
      </c>
      <c r="D17" s="79" t="s">
        <v>80</v>
      </c>
      <c r="E17" s="88" t="s">
        <v>76</v>
      </c>
    </row>
    <row r="18" spans="2:5" ht="45">
      <c r="B18" s="71" t="s">
        <v>19</v>
      </c>
      <c r="C18" s="80">
        <v>6.8610000000000004E-2</v>
      </c>
      <c r="D18" s="79" t="s">
        <v>68</v>
      </c>
      <c r="E18" s="88" t="s">
        <v>76</v>
      </c>
    </row>
    <row r="19" spans="2:5" ht="45">
      <c r="B19" s="71" t="s">
        <v>19</v>
      </c>
      <c r="C19" s="72">
        <v>0.72</v>
      </c>
      <c r="D19" s="79" t="s">
        <v>85</v>
      </c>
      <c r="E19" s="88" t="s">
        <v>82</v>
      </c>
    </row>
    <row r="20" spans="2:5" ht="45">
      <c r="B20" s="71" t="s">
        <v>81</v>
      </c>
      <c r="C20" s="80">
        <v>4.333E-2</v>
      </c>
      <c r="D20" s="79" t="s">
        <v>80</v>
      </c>
      <c r="E20" s="88" t="s">
        <v>76</v>
      </c>
    </row>
    <row r="21" spans="2:5" ht="45">
      <c r="B21" s="71" t="s">
        <v>81</v>
      </c>
      <c r="C21" s="80">
        <v>7.3330000000000006E-2</v>
      </c>
      <c r="D21" s="79" t="s">
        <v>68</v>
      </c>
      <c r="E21" s="88" t="s">
        <v>76</v>
      </c>
    </row>
    <row r="22" spans="2:5" ht="45">
      <c r="B22" s="71" t="s">
        <v>81</v>
      </c>
      <c r="C22" s="80">
        <v>0.82</v>
      </c>
      <c r="D22" s="79" t="s">
        <v>85</v>
      </c>
      <c r="E22" s="88" t="s">
        <v>83</v>
      </c>
    </row>
    <row r="23" spans="2:5" ht="37.5" customHeight="1">
      <c r="B23" s="71" t="s">
        <v>64</v>
      </c>
      <c r="C23" s="80">
        <v>155</v>
      </c>
      <c r="D23" s="79" t="s">
        <v>69</v>
      </c>
      <c r="E23" s="88" t="s">
        <v>77</v>
      </c>
    </row>
    <row r="24" spans="2:5" ht="37.5" customHeight="1">
      <c r="B24" s="71" t="s">
        <v>65</v>
      </c>
      <c r="C24" s="80">
        <v>200</v>
      </c>
      <c r="D24" s="79" t="s">
        <v>69</v>
      </c>
      <c r="E24" s="88" t="s">
        <v>77</v>
      </c>
    </row>
    <row r="25" spans="2:5" ht="37.5" customHeight="1">
      <c r="B25" s="71" t="s">
        <v>18</v>
      </c>
      <c r="C25" s="80">
        <v>450</v>
      </c>
      <c r="D25" s="79" t="s">
        <v>69</v>
      </c>
      <c r="E25" s="88" t="s">
        <v>77</v>
      </c>
    </row>
    <row r="26" spans="2:5" ht="37.5" customHeight="1">
      <c r="B26" s="71" t="s">
        <v>66</v>
      </c>
      <c r="C26" s="80">
        <v>900</v>
      </c>
      <c r="D26" s="79" t="s">
        <v>69</v>
      </c>
      <c r="E26" s="88" t="s">
        <v>77</v>
      </c>
    </row>
    <row r="27" spans="2:5" ht="37.5" customHeight="1" thickBot="1">
      <c r="B27" s="73" t="s">
        <v>20</v>
      </c>
      <c r="C27" s="81">
        <v>450</v>
      </c>
      <c r="D27" s="89" t="s">
        <v>69</v>
      </c>
      <c r="E27" s="90" t="s">
        <v>77</v>
      </c>
    </row>
    <row r="28" spans="2:5">
      <c r="B28" s="71" t="s">
        <v>361</v>
      </c>
      <c r="C28" s="80">
        <v>16.5</v>
      </c>
      <c r="D28" s="79" t="s">
        <v>555</v>
      </c>
      <c r="E28" s="88" t="s">
        <v>554</v>
      </c>
    </row>
    <row r="29" spans="2:5" ht="15.75" thickBot="1">
      <c r="B29" s="73" t="s">
        <v>361</v>
      </c>
      <c r="C29" s="81">
        <v>650</v>
      </c>
      <c r="D29" s="89" t="s">
        <v>556</v>
      </c>
      <c r="E29" s="90" t="s">
        <v>557</v>
      </c>
    </row>
    <row r="30" spans="2:5">
      <c r="B30" s="749" t="s">
        <v>58</v>
      </c>
      <c r="C30" s="6">
        <v>28</v>
      </c>
      <c r="D30" s="749" t="s">
        <v>903</v>
      </c>
    </row>
    <row r="31" spans="2:5">
      <c r="B31" s="749" t="s">
        <v>904</v>
      </c>
      <c r="C31" s="6">
        <v>17</v>
      </c>
      <c r="D31" s="749" t="s">
        <v>903</v>
      </c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1" manualBreakCount="1">
    <brk id="24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1:I14"/>
  <sheetViews>
    <sheetView showGridLines="0" view="pageBreakPreview" zoomScale="80" zoomScaleSheetLayoutView="80" workbookViewId="0">
      <selection activeCell="E16" sqref="E16"/>
    </sheetView>
  </sheetViews>
  <sheetFormatPr defaultRowHeight="15"/>
  <cols>
    <col min="1" max="1" width="5.125" style="6" customWidth="1"/>
    <col min="2" max="5" width="17.5" style="6" customWidth="1"/>
    <col min="6" max="6" width="6.125" style="6" customWidth="1"/>
    <col min="7" max="16384" width="9" style="6"/>
  </cols>
  <sheetData>
    <row r="1" spans="2:9" ht="15.75" thickBot="1">
      <c r="B1" s="165"/>
      <c r="C1" s="165"/>
      <c r="D1" s="165"/>
      <c r="E1" s="165"/>
      <c r="F1" s="165"/>
      <c r="G1" s="165"/>
      <c r="H1" s="165"/>
      <c r="I1" s="165"/>
    </row>
    <row r="2" spans="2:9" ht="15.75" thickBot="1">
      <c r="B2" s="1148" t="s">
        <v>390</v>
      </c>
      <c r="C2" s="1149"/>
      <c r="D2" s="1149"/>
      <c r="E2" s="1149"/>
      <c r="F2" s="1149"/>
      <c r="G2" s="1149"/>
      <c r="H2" s="1149"/>
      <c r="I2" s="1150"/>
    </row>
    <row r="3" spans="2:9" ht="15.75" thickBot="1">
      <c r="B3" s="1144"/>
      <c r="C3" s="1144"/>
      <c r="D3" s="1144"/>
      <c r="E3" s="1144"/>
      <c r="F3" s="1144"/>
      <c r="G3" s="1144"/>
      <c r="H3" s="1144"/>
      <c r="I3" s="192"/>
    </row>
    <row r="4" spans="2:9" ht="15.75" thickBot="1">
      <c r="B4" s="1145" t="s">
        <v>320</v>
      </c>
      <c r="C4" s="1146"/>
      <c r="D4" s="1147"/>
      <c r="E4" s="182"/>
      <c r="F4" s="182"/>
      <c r="G4" s="1080" t="s">
        <v>211</v>
      </c>
      <c r="H4" s="1081"/>
      <c r="I4" s="1082"/>
    </row>
    <row r="5" spans="2:9" ht="27.75" thickBot="1">
      <c r="B5" s="197" t="s">
        <v>52</v>
      </c>
      <c r="C5" s="198" t="s">
        <v>321</v>
      </c>
      <c r="D5" s="199" t="s">
        <v>323</v>
      </c>
      <c r="E5" s="200" t="s">
        <v>325</v>
      </c>
      <c r="F5" s="165"/>
      <c r="G5" s="201" t="s">
        <v>212</v>
      </c>
      <c r="H5" s="196">
        <v>3.6</v>
      </c>
      <c r="I5" s="181" t="s">
        <v>207</v>
      </c>
    </row>
    <row r="6" spans="2:9" ht="15.75" thickBot="1">
      <c r="B6" s="183">
        <v>1282</v>
      </c>
      <c r="C6" s="184">
        <f>B6*H5</f>
        <v>4615.2</v>
      </c>
      <c r="D6" s="185">
        <f>Wskaźniki!C7</f>
        <v>0.81200000000000006</v>
      </c>
      <c r="E6" s="186">
        <f>B6*D6</f>
        <v>1040.9840000000002</v>
      </c>
      <c r="F6" s="165"/>
      <c r="G6" s="202" t="s">
        <v>213</v>
      </c>
      <c r="H6" s="193">
        <v>0.27700000000000002</v>
      </c>
      <c r="I6" s="194" t="s">
        <v>214</v>
      </c>
    </row>
    <row r="7" spans="2:9" ht="15.75" thickBot="1">
      <c r="B7" s="203">
        <f>SUM(B6)</f>
        <v>1282</v>
      </c>
      <c r="C7" s="204">
        <f>SUM(C6)</f>
        <v>4615.2</v>
      </c>
      <c r="D7" s="195"/>
      <c r="E7" s="203">
        <f>SUM(E6)</f>
        <v>1040.9840000000002</v>
      </c>
      <c r="F7" s="165"/>
      <c r="G7" s="165"/>
      <c r="H7" s="165"/>
      <c r="I7" s="165"/>
    </row>
    <row r="8" spans="2:9">
      <c r="B8" s="187"/>
      <c r="C8" s="187"/>
      <c r="D8" s="195"/>
      <c r="E8" s="195"/>
      <c r="F8" s="195"/>
      <c r="G8" s="195"/>
      <c r="H8" s="195"/>
      <c r="I8" s="165"/>
    </row>
    <row r="9" spans="2:9">
      <c r="B9" s="195"/>
      <c r="C9" s="195"/>
      <c r="D9" s="195"/>
      <c r="E9" s="195"/>
      <c r="F9" s="195"/>
      <c r="G9" s="195"/>
      <c r="H9" s="195"/>
      <c r="I9" s="165"/>
    </row>
    <row r="10" spans="2:9" ht="15.75" thickBot="1">
      <c r="B10" s="165"/>
      <c r="C10" s="165"/>
      <c r="D10" s="165"/>
      <c r="E10" s="165"/>
      <c r="F10" s="165"/>
      <c r="G10" s="165"/>
      <c r="H10" s="165"/>
      <c r="I10" s="165"/>
    </row>
    <row r="11" spans="2:9" ht="15.75" thickBot="1">
      <c r="B11" s="1141" t="s">
        <v>322</v>
      </c>
      <c r="C11" s="1142"/>
      <c r="D11" s="1143"/>
      <c r="E11" s="182"/>
      <c r="F11" s="182"/>
      <c r="G11" s="182"/>
      <c r="H11" s="182"/>
      <c r="I11" s="165"/>
    </row>
    <row r="12" spans="2:9" ht="27.75" thickBot="1">
      <c r="B12" s="197" t="s">
        <v>52</v>
      </c>
      <c r="C12" s="198" t="s">
        <v>321</v>
      </c>
      <c r="D12" s="199" t="s">
        <v>324</v>
      </c>
      <c r="E12" s="200" t="s">
        <v>325</v>
      </c>
      <c r="F12" s="165"/>
      <c r="G12" s="165"/>
      <c r="H12" s="165"/>
      <c r="I12" s="165"/>
    </row>
    <row r="13" spans="2:9" ht="15.75" thickBot="1">
      <c r="B13" s="188">
        <f>B6</f>
        <v>1282</v>
      </c>
      <c r="C13" s="189">
        <f>B13*H5</f>
        <v>4615.2</v>
      </c>
      <c r="D13" s="190">
        <v>0.81200000000000006</v>
      </c>
      <c r="E13" s="191">
        <f>B13*D13</f>
        <v>1040.9840000000002</v>
      </c>
      <c r="F13" s="165"/>
      <c r="G13" s="165"/>
      <c r="H13" s="165"/>
      <c r="I13" s="165"/>
    </row>
    <row r="14" spans="2:9" ht="15.75" thickBot="1">
      <c r="B14" s="203">
        <f>SUM(B13)</f>
        <v>1282</v>
      </c>
      <c r="C14" s="203">
        <f>SUM(C13)</f>
        <v>4615.2</v>
      </c>
      <c r="D14" s="195"/>
      <c r="E14" s="205">
        <f>SUM(E13)</f>
        <v>1040.9840000000002</v>
      </c>
      <c r="F14" s="165"/>
      <c r="G14" s="165"/>
      <c r="H14" s="165"/>
      <c r="I14" s="165"/>
    </row>
  </sheetData>
  <mergeCells count="5">
    <mergeCell ref="B11:D11"/>
    <mergeCell ref="B3:H3"/>
    <mergeCell ref="B4:D4"/>
    <mergeCell ref="G4:I4"/>
    <mergeCell ref="B2:I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3:X41"/>
  <sheetViews>
    <sheetView topLeftCell="G1" workbookViewId="0">
      <selection activeCell="I5" sqref="I5"/>
    </sheetView>
  </sheetViews>
  <sheetFormatPr defaultColWidth="7.625" defaultRowHeight="12.75"/>
  <cols>
    <col min="1" max="1" width="2.75" style="729" customWidth="1"/>
    <col min="2" max="2" width="4" style="737" customWidth="1"/>
    <col min="3" max="3" width="30.625" style="729" customWidth="1"/>
    <col min="4" max="6" width="10.5" style="729" customWidth="1"/>
    <col min="7" max="7" width="19.625" style="729" customWidth="1"/>
    <col min="8" max="8" width="10.375" style="737" customWidth="1"/>
    <col min="9" max="9" width="11.5" style="729" customWidth="1"/>
    <col min="10" max="10" width="14.75" style="738" customWidth="1"/>
    <col min="11" max="11" width="23.75" style="738" customWidth="1"/>
    <col min="12" max="12" width="17.375" style="738" customWidth="1"/>
    <col min="13" max="13" width="16" style="738" customWidth="1"/>
    <col min="14" max="14" width="11" style="729" customWidth="1"/>
    <col min="15" max="17" width="7.625" style="729"/>
    <col min="18" max="18" width="22.875" style="729" customWidth="1"/>
    <col min="19" max="20" width="10.875" style="729" customWidth="1"/>
    <col min="21" max="16384" width="7.625" style="729"/>
  </cols>
  <sheetData>
    <row r="3" spans="2:24" ht="13.5" thickBot="1"/>
    <row r="4" spans="2:24" ht="51.75" thickBot="1">
      <c r="B4" s="725" t="s">
        <v>769</v>
      </c>
      <c r="C4" s="726" t="s">
        <v>770</v>
      </c>
      <c r="D4" s="726" t="s">
        <v>756</v>
      </c>
      <c r="E4" s="727" t="s">
        <v>757</v>
      </c>
      <c r="F4" s="727" t="s">
        <v>771</v>
      </c>
      <c r="G4" s="726" t="s">
        <v>758</v>
      </c>
      <c r="H4" s="726" t="s">
        <v>772</v>
      </c>
      <c r="I4" s="726" t="s">
        <v>773</v>
      </c>
      <c r="J4" s="726" t="s">
        <v>774</v>
      </c>
      <c r="K4" s="726" t="s">
        <v>775</v>
      </c>
      <c r="L4" s="726" t="s">
        <v>776</v>
      </c>
      <c r="M4" s="726" t="s">
        <v>777</v>
      </c>
      <c r="N4" s="728" t="s">
        <v>778</v>
      </c>
      <c r="R4" s="567"/>
      <c r="S4" s="207" t="s">
        <v>67</v>
      </c>
      <c r="T4" s="207" t="s">
        <v>271</v>
      </c>
    </row>
    <row r="5" spans="2:24" ht="25.5">
      <c r="B5" s="730">
        <v>1</v>
      </c>
      <c r="C5" s="720" t="s">
        <v>779</v>
      </c>
      <c r="D5" s="719">
        <v>507.81</v>
      </c>
      <c r="E5" s="719">
        <v>4200</v>
      </c>
      <c r="F5" s="719">
        <v>1900</v>
      </c>
      <c r="G5" s="720" t="s">
        <v>759</v>
      </c>
      <c r="H5" s="721" t="s">
        <v>760</v>
      </c>
      <c r="I5" s="719">
        <v>222.18</v>
      </c>
      <c r="J5" s="731">
        <v>43.21</v>
      </c>
      <c r="K5" s="731" t="s">
        <v>780</v>
      </c>
      <c r="L5" s="731" t="s">
        <v>781</v>
      </c>
      <c r="M5" s="732" t="s">
        <v>781</v>
      </c>
      <c r="N5" s="719"/>
      <c r="R5" s="709" t="s">
        <v>263</v>
      </c>
      <c r="S5" s="710" t="s">
        <v>269</v>
      </c>
      <c r="T5" s="139">
        <f>J40/1000</f>
        <v>1317.4198409999999</v>
      </c>
    </row>
    <row r="6" spans="2:24" ht="25.5">
      <c r="B6" s="723">
        <f>B5+1</f>
        <v>2</v>
      </c>
      <c r="C6" s="718" t="s">
        <v>783</v>
      </c>
      <c r="D6" s="722">
        <v>339.87</v>
      </c>
      <c r="E6" s="722">
        <v>2539</v>
      </c>
      <c r="F6" s="723" t="s">
        <v>761</v>
      </c>
      <c r="G6" s="718" t="s">
        <v>759</v>
      </c>
      <c r="H6" s="724" t="s">
        <v>760</v>
      </c>
      <c r="I6" s="722">
        <v>74.06</v>
      </c>
      <c r="J6" s="734">
        <v>7.6</v>
      </c>
      <c r="K6" s="734" t="s">
        <v>780</v>
      </c>
      <c r="L6" s="734" t="s">
        <v>781</v>
      </c>
      <c r="M6" s="735" t="s">
        <v>781</v>
      </c>
      <c r="N6" s="722"/>
      <c r="R6" s="711" t="s">
        <v>264</v>
      </c>
      <c r="S6" s="710" t="s">
        <v>269</v>
      </c>
      <c r="T6" s="139">
        <f>I41</f>
        <v>2920.2508737999997</v>
      </c>
    </row>
    <row r="7" spans="2:24" ht="25.5">
      <c r="B7" s="723">
        <f>B6+1</f>
        <v>3</v>
      </c>
      <c r="C7" s="718" t="s">
        <v>762</v>
      </c>
      <c r="D7" s="722">
        <v>155.84</v>
      </c>
      <c r="E7" s="722">
        <v>468</v>
      </c>
      <c r="F7" s="722">
        <v>1950</v>
      </c>
      <c r="G7" s="718" t="s">
        <v>759</v>
      </c>
      <c r="H7" s="724" t="s">
        <v>760</v>
      </c>
      <c r="I7" s="722">
        <v>74.06</v>
      </c>
      <c r="J7" s="734">
        <v>3.55</v>
      </c>
      <c r="K7" s="734" t="s">
        <v>780</v>
      </c>
      <c r="L7" s="734" t="s">
        <v>781</v>
      </c>
      <c r="M7" s="735" t="s">
        <v>781</v>
      </c>
      <c r="N7" s="722"/>
      <c r="R7" s="712" t="s">
        <v>267</v>
      </c>
      <c r="S7" s="713" t="s">
        <v>269</v>
      </c>
      <c r="T7" s="714">
        <f>T5+T6</f>
        <v>4237.6707147999996</v>
      </c>
    </row>
    <row r="8" spans="2:24" ht="25.5">
      <c r="B8" s="723">
        <f>B7+1</f>
        <v>4</v>
      </c>
      <c r="C8" s="718" t="s">
        <v>785</v>
      </c>
      <c r="D8" s="722">
        <v>180.5</v>
      </c>
      <c r="E8" s="722">
        <v>1350</v>
      </c>
      <c r="F8" s="723" t="s">
        <v>765</v>
      </c>
      <c r="G8" s="718" t="s">
        <v>759</v>
      </c>
      <c r="H8" s="724" t="s">
        <v>760</v>
      </c>
      <c r="I8" s="722">
        <v>74.06</v>
      </c>
      <c r="J8" s="734">
        <v>6.38</v>
      </c>
      <c r="K8" s="734" t="s">
        <v>786</v>
      </c>
      <c r="L8" s="734" t="s">
        <v>781</v>
      </c>
      <c r="M8" s="735" t="s">
        <v>781</v>
      </c>
      <c r="N8" s="722"/>
      <c r="Q8" s="736"/>
      <c r="R8" s="711" t="s">
        <v>265</v>
      </c>
      <c r="S8" s="710" t="s">
        <v>270</v>
      </c>
      <c r="T8" s="139">
        <f>T5*Wskaźniki!$C$7</f>
        <v>1069.744910892</v>
      </c>
      <c r="U8" s="736"/>
      <c r="V8" s="736"/>
      <c r="W8" s="736"/>
      <c r="X8" s="736"/>
    </row>
    <row r="9" spans="2:24" ht="25.5">
      <c r="B9" s="723">
        <f>B8+1</f>
        <v>5</v>
      </c>
      <c r="C9" s="718" t="s">
        <v>788</v>
      </c>
      <c r="D9" s="722">
        <v>498</v>
      </c>
      <c r="E9" s="722"/>
      <c r="F9" s="722">
        <v>1946</v>
      </c>
      <c r="G9" s="718" t="s">
        <v>759</v>
      </c>
      <c r="H9" s="724" t="s">
        <v>766</v>
      </c>
      <c r="I9" s="722">
        <v>366</v>
      </c>
      <c r="J9" s="734">
        <v>16028</v>
      </c>
      <c r="K9" s="735" t="s">
        <v>789</v>
      </c>
      <c r="L9" s="734" t="s">
        <v>781</v>
      </c>
      <c r="M9" s="735" t="s">
        <v>790</v>
      </c>
      <c r="N9" s="722"/>
      <c r="P9" s="736"/>
      <c r="Q9" s="736"/>
      <c r="R9" s="711" t="s">
        <v>266</v>
      </c>
      <c r="S9" s="710" t="s">
        <v>270</v>
      </c>
      <c r="T9" s="139">
        <f>T6*Wskaźniki!$C$12</f>
        <v>163.00840377551597</v>
      </c>
      <c r="U9" s="736"/>
      <c r="V9" s="736"/>
      <c r="W9" s="736"/>
      <c r="X9" s="736"/>
    </row>
    <row r="10" spans="2:24" ht="25.5">
      <c r="B10" s="723">
        <v>6</v>
      </c>
      <c r="C10" s="718" t="s">
        <v>791</v>
      </c>
      <c r="D10" s="722">
        <v>188.02</v>
      </c>
      <c r="E10" s="722">
        <v>488.85</v>
      </c>
      <c r="F10" s="722">
        <v>2013</v>
      </c>
      <c r="G10" s="718"/>
      <c r="H10" s="724" t="s">
        <v>767</v>
      </c>
      <c r="I10" s="734" t="s">
        <v>792</v>
      </c>
      <c r="J10" s="734"/>
      <c r="K10" s="735"/>
      <c r="L10" s="734" t="s">
        <v>781</v>
      </c>
      <c r="M10" s="735" t="s">
        <v>781</v>
      </c>
      <c r="N10" s="722"/>
      <c r="P10" s="736"/>
      <c r="Q10" s="736"/>
      <c r="R10" s="712" t="s">
        <v>268</v>
      </c>
      <c r="S10" s="713" t="s">
        <v>270</v>
      </c>
      <c r="T10" s="714">
        <f>T8+T9</f>
        <v>1232.753314667516</v>
      </c>
      <c r="U10" s="736"/>
      <c r="V10" s="736"/>
      <c r="W10" s="736"/>
      <c r="X10" s="736"/>
    </row>
    <row r="11" spans="2:24" ht="25.5">
      <c r="B11" s="723" t="s">
        <v>793</v>
      </c>
      <c r="C11" s="718" t="s">
        <v>768</v>
      </c>
      <c r="D11" s="722">
        <v>241.34</v>
      </c>
      <c r="E11" s="722">
        <v>733.87</v>
      </c>
      <c r="F11" s="722">
        <v>2013</v>
      </c>
      <c r="G11" s="718"/>
      <c r="H11" s="724" t="s">
        <v>767</v>
      </c>
      <c r="I11" s="734" t="s">
        <v>792</v>
      </c>
      <c r="J11" s="734"/>
      <c r="K11" s="735"/>
      <c r="L11" s="734" t="s">
        <v>781</v>
      </c>
      <c r="M11" s="735" t="s">
        <v>781</v>
      </c>
      <c r="N11" s="722"/>
      <c r="P11" s="736"/>
      <c r="Q11" s="736"/>
      <c r="R11" s="736"/>
      <c r="S11" s="736"/>
      <c r="T11" s="736"/>
      <c r="U11" s="736"/>
      <c r="V11" s="736"/>
      <c r="W11" s="736"/>
      <c r="X11" s="736"/>
    </row>
    <row r="12" spans="2:24" ht="25.5">
      <c r="B12" s="723" t="s">
        <v>794</v>
      </c>
      <c r="C12" s="718" t="s">
        <v>795</v>
      </c>
      <c r="D12" s="722">
        <v>103.82</v>
      </c>
      <c r="E12" s="722">
        <v>376.74</v>
      </c>
      <c r="F12" s="722">
        <v>2012</v>
      </c>
      <c r="G12" s="718"/>
      <c r="H12" s="724" t="s">
        <v>767</v>
      </c>
      <c r="I12" s="734" t="s">
        <v>792</v>
      </c>
      <c r="J12" s="734">
        <v>26877</v>
      </c>
      <c r="K12" s="735" t="s">
        <v>780</v>
      </c>
      <c r="L12" s="734" t="s">
        <v>781</v>
      </c>
      <c r="M12" s="735" t="s">
        <v>781</v>
      </c>
      <c r="N12" s="722"/>
      <c r="P12" s="733" t="s">
        <v>782</v>
      </c>
      <c r="Q12" s="736"/>
      <c r="R12" s="736"/>
      <c r="S12" s="736"/>
      <c r="T12" s="736"/>
      <c r="U12" s="736"/>
      <c r="V12" s="736"/>
      <c r="W12" s="736"/>
      <c r="X12" s="736"/>
    </row>
    <row r="13" spans="2:24" ht="25.5">
      <c r="B13" s="723" t="s">
        <v>796</v>
      </c>
      <c r="C13" s="718" t="s">
        <v>797</v>
      </c>
      <c r="D13" s="722">
        <v>264.83</v>
      </c>
      <c r="E13" s="722">
        <v>929</v>
      </c>
      <c r="F13" s="722">
        <v>2013</v>
      </c>
      <c r="G13" s="718"/>
      <c r="H13" s="724" t="s">
        <v>798</v>
      </c>
      <c r="I13" s="734" t="s">
        <v>792</v>
      </c>
      <c r="J13" s="734"/>
      <c r="K13" s="735"/>
      <c r="L13" s="734" t="s">
        <v>781</v>
      </c>
      <c r="M13" s="735" t="s">
        <v>781</v>
      </c>
      <c r="N13" s="722"/>
      <c r="P13" s="733" t="s">
        <v>784</v>
      </c>
      <c r="Q13" s="736"/>
      <c r="R13" s="736"/>
      <c r="S13" s="736"/>
      <c r="T13" s="736"/>
      <c r="U13" s="736"/>
      <c r="V13" s="736"/>
      <c r="W13" s="736"/>
      <c r="X13" s="736"/>
    </row>
    <row r="14" spans="2:24" ht="25.5">
      <c r="B14" s="723" t="s">
        <v>799</v>
      </c>
      <c r="C14" s="718" t="s">
        <v>800</v>
      </c>
      <c r="D14" s="722">
        <v>120.8</v>
      </c>
      <c r="E14" s="722">
        <v>620.6</v>
      </c>
      <c r="F14" s="722"/>
      <c r="G14" s="718" t="s">
        <v>801</v>
      </c>
      <c r="H14" s="724" t="s">
        <v>767</v>
      </c>
      <c r="I14" s="734" t="s">
        <v>792</v>
      </c>
      <c r="J14" s="734"/>
      <c r="K14" s="735"/>
      <c r="L14" s="734" t="s">
        <v>781</v>
      </c>
      <c r="M14" s="735" t="s">
        <v>781</v>
      </c>
      <c r="N14" s="722"/>
      <c r="P14" s="736" t="s">
        <v>787</v>
      </c>
      <c r="Q14" s="736"/>
      <c r="R14" s="736"/>
      <c r="S14" s="736"/>
      <c r="T14" s="736"/>
      <c r="U14" s="736"/>
      <c r="V14" s="736"/>
      <c r="W14" s="736"/>
      <c r="X14" s="736"/>
    </row>
    <row r="15" spans="2:24" ht="25.5">
      <c r="B15" s="723" t="s">
        <v>802</v>
      </c>
      <c r="C15" s="718" t="s">
        <v>803</v>
      </c>
      <c r="D15" s="722">
        <v>294.8</v>
      </c>
      <c r="E15" s="722"/>
      <c r="F15" s="722"/>
      <c r="G15" s="718" t="s">
        <v>801</v>
      </c>
      <c r="H15" s="724" t="s">
        <v>767</v>
      </c>
      <c r="I15" s="734" t="s">
        <v>792</v>
      </c>
      <c r="J15" s="734"/>
      <c r="K15" s="734"/>
      <c r="L15" s="734" t="s">
        <v>781</v>
      </c>
      <c r="M15" s="735" t="s">
        <v>781</v>
      </c>
      <c r="N15" s="722"/>
    </row>
    <row r="16" spans="2:24" ht="25.5">
      <c r="B16" s="723">
        <v>7</v>
      </c>
      <c r="C16" s="718" t="s">
        <v>804</v>
      </c>
      <c r="D16" s="722">
        <v>1060</v>
      </c>
      <c r="E16" s="722"/>
      <c r="F16" s="722">
        <v>1890</v>
      </c>
      <c r="G16" s="718" t="s">
        <v>759</v>
      </c>
      <c r="H16" s="724" t="s">
        <v>760</v>
      </c>
      <c r="I16" s="722">
        <v>67.709999999999994</v>
      </c>
      <c r="J16" s="734">
        <v>10.095000000000001</v>
      </c>
      <c r="K16" s="734" t="s">
        <v>805</v>
      </c>
      <c r="L16" s="734" t="s">
        <v>781</v>
      </c>
      <c r="M16" s="735" t="s">
        <v>781</v>
      </c>
      <c r="N16" s="722"/>
      <c r="P16" s="729" t="s">
        <v>847</v>
      </c>
      <c r="S16" s="729">
        <v>63.5</v>
      </c>
    </row>
    <row r="17" spans="2:14" ht="25.5">
      <c r="B17" s="723">
        <v>8</v>
      </c>
      <c r="C17" s="718" t="s">
        <v>806</v>
      </c>
      <c r="D17" s="722">
        <v>1898.88</v>
      </c>
      <c r="E17" s="722">
        <v>5981.33</v>
      </c>
      <c r="F17" s="722" t="s">
        <v>807</v>
      </c>
      <c r="G17" s="718" t="s">
        <v>759</v>
      </c>
      <c r="H17" s="724" t="s">
        <v>766</v>
      </c>
      <c r="I17" s="722">
        <v>752.41</v>
      </c>
      <c r="J17" s="734">
        <v>31795</v>
      </c>
      <c r="K17" s="734" t="s">
        <v>808</v>
      </c>
      <c r="L17" s="734" t="s">
        <v>809</v>
      </c>
      <c r="M17" s="735" t="s">
        <v>810</v>
      </c>
      <c r="N17" s="722"/>
    </row>
    <row r="18" spans="2:14" ht="38.25">
      <c r="B18" s="723">
        <v>9</v>
      </c>
      <c r="C18" s="718" t="s">
        <v>811</v>
      </c>
      <c r="D18" s="722">
        <v>888</v>
      </c>
      <c r="E18" s="722">
        <v>3085</v>
      </c>
      <c r="F18" s="722">
        <v>1978</v>
      </c>
      <c r="G18" s="718" t="s">
        <v>759</v>
      </c>
      <c r="H18" s="724" t="s">
        <v>760</v>
      </c>
      <c r="I18" s="722">
        <v>582.24</v>
      </c>
      <c r="J18" s="734">
        <v>26326.006000000001</v>
      </c>
      <c r="K18" s="734" t="s">
        <v>812</v>
      </c>
      <c r="L18" s="734" t="s">
        <v>813</v>
      </c>
      <c r="M18" s="735" t="s">
        <v>813</v>
      </c>
      <c r="N18" s="722"/>
    </row>
    <row r="19" spans="2:14" ht="25.5">
      <c r="B19" s="723">
        <v>10</v>
      </c>
      <c r="C19" s="718" t="s">
        <v>814</v>
      </c>
      <c r="D19" s="722">
        <v>5680</v>
      </c>
      <c r="E19" s="722">
        <v>19312</v>
      </c>
      <c r="F19" s="722">
        <v>1934</v>
      </c>
      <c r="G19" s="718" t="s">
        <v>815</v>
      </c>
      <c r="H19" s="724" t="s">
        <v>816</v>
      </c>
      <c r="I19" s="722">
        <v>1376.6</v>
      </c>
      <c r="J19" s="734">
        <v>45584</v>
      </c>
      <c r="K19" s="734" t="s">
        <v>805</v>
      </c>
      <c r="L19" s="734" t="s">
        <v>781</v>
      </c>
      <c r="M19" s="735" t="s">
        <v>817</v>
      </c>
      <c r="N19" s="722"/>
    </row>
    <row r="20" spans="2:14" ht="25.5">
      <c r="B20" s="723">
        <v>11</v>
      </c>
      <c r="C20" s="718" t="s">
        <v>818</v>
      </c>
      <c r="D20" s="722">
        <v>8022</v>
      </c>
      <c r="E20" s="722"/>
      <c r="F20" s="723" t="s">
        <v>819</v>
      </c>
      <c r="G20" s="718" t="s">
        <v>759</v>
      </c>
      <c r="H20" s="724" t="s">
        <v>760</v>
      </c>
      <c r="I20" s="722">
        <v>391.5</v>
      </c>
      <c r="J20" s="734">
        <v>95243</v>
      </c>
      <c r="K20" s="734"/>
      <c r="L20" s="734" t="s">
        <v>781</v>
      </c>
      <c r="M20" s="735" t="s">
        <v>781</v>
      </c>
      <c r="N20" s="722"/>
    </row>
    <row r="21" spans="2:14" ht="38.25">
      <c r="B21" s="723">
        <v>12</v>
      </c>
      <c r="C21" s="718" t="s">
        <v>721</v>
      </c>
      <c r="D21" s="722">
        <v>1010.3</v>
      </c>
      <c r="E21" s="722">
        <v>2563</v>
      </c>
      <c r="F21" s="722">
        <v>1966</v>
      </c>
      <c r="G21" s="718" t="s">
        <v>759</v>
      </c>
      <c r="H21" s="724" t="s">
        <v>820</v>
      </c>
      <c r="I21" s="722">
        <v>2269</v>
      </c>
      <c r="J21" s="734">
        <v>53293</v>
      </c>
      <c r="K21" s="734" t="s">
        <v>821</v>
      </c>
      <c r="L21" s="734" t="s">
        <v>781</v>
      </c>
      <c r="M21" s="735" t="s">
        <v>781</v>
      </c>
      <c r="N21" s="722"/>
    </row>
    <row r="22" spans="2:14" ht="25.5">
      <c r="B22" s="723" t="s">
        <v>822</v>
      </c>
      <c r="C22" s="718" t="s">
        <v>724</v>
      </c>
      <c r="D22" s="722">
        <v>195.2</v>
      </c>
      <c r="E22" s="722">
        <v>762</v>
      </c>
      <c r="F22" s="722">
        <v>1982</v>
      </c>
      <c r="G22" s="718" t="s">
        <v>759</v>
      </c>
      <c r="H22" s="724" t="s">
        <v>823</v>
      </c>
      <c r="I22" s="722">
        <v>140</v>
      </c>
      <c r="J22" s="734">
        <v>34530</v>
      </c>
      <c r="K22" s="734" t="s">
        <v>824</v>
      </c>
      <c r="L22" s="734" t="s">
        <v>781</v>
      </c>
      <c r="M22" s="735" t="s">
        <v>781</v>
      </c>
      <c r="N22" s="722"/>
    </row>
    <row r="23" spans="2:14" ht="25.5">
      <c r="B23" s="723" t="s">
        <v>825</v>
      </c>
      <c r="C23" s="718" t="s">
        <v>726</v>
      </c>
      <c r="D23" s="722">
        <v>154</v>
      </c>
      <c r="E23" s="722">
        <v>385</v>
      </c>
      <c r="F23" s="722">
        <v>1986</v>
      </c>
      <c r="G23" s="718" t="s">
        <v>826</v>
      </c>
      <c r="H23" s="724" t="s">
        <v>827</v>
      </c>
      <c r="I23" s="722">
        <v>125</v>
      </c>
      <c r="J23" s="734">
        <v>325</v>
      </c>
      <c r="K23" s="734" t="s">
        <v>828</v>
      </c>
      <c r="L23" s="734" t="s">
        <v>781</v>
      </c>
      <c r="M23" s="735" t="s">
        <v>781</v>
      </c>
      <c r="N23" s="722"/>
    </row>
    <row r="24" spans="2:14" ht="25.5">
      <c r="B24" s="723" t="s">
        <v>829</v>
      </c>
      <c r="C24" s="718" t="s">
        <v>830</v>
      </c>
      <c r="D24" s="722">
        <v>42</v>
      </c>
      <c r="E24" s="722">
        <v>126</v>
      </c>
      <c r="F24" s="722">
        <v>1970</v>
      </c>
      <c r="G24" s="718" t="s">
        <v>826</v>
      </c>
      <c r="H24" s="724" t="s">
        <v>831</v>
      </c>
      <c r="I24" s="722"/>
      <c r="J24" s="734">
        <v>3257</v>
      </c>
      <c r="K24" s="734" t="s">
        <v>832</v>
      </c>
      <c r="L24" s="734" t="s">
        <v>781</v>
      </c>
      <c r="M24" s="735" t="s">
        <v>781</v>
      </c>
      <c r="N24" s="722"/>
    </row>
    <row r="25" spans="2:14" ht="25.5">
      <c r="B25" s="723">
        <v>13</v>
      </c>
      <c r="C25" s="718" t="s">
        <v>833</v>
      </c>
      <c r="D25" s="722">
        <v>460</v>
      </c>
      <c r="E25" s="722">
        <v>1800</v>
      </c>
      <c r="F25" s="722">
        <v>1924</v>
      </c>
      <c r="G25" s="718" t="s">
        <v>834</v>
      </c>
      <c r="H25" s="724" t="s">
        <v>820</v>
      </c>
      <c r="I25" s="722">
        <v>293</v>
      </c>
      <c r="J25" s="734">
        <v>7800</v>
      </c>
      <c r="K25" s="734" t="s">
        <v>835</v>
      </c>
      <c r="L25" s="734" t="s">
        <v>781</v>
      </c>
      <c r="M25" s="735" t="s">
        <v>781</v>
      </c>
      <c r="N25" s="722"/>
    </row>
    <row r="26" spans="2:14" ht="25.5">
      <c r="B26" s="723" t="s">
        <v>836</v>
      </c>
      <c r="C26" s="718" t="s">
        <v>731</v>
      </c>
      <c r="D26" s="722">
        <v>637</v>
      </c>
      <c r="E26" s="722">
        <v>3267</v>
      </c>
      <c r="F26" s="722">
        <v>2007</v>
      </c>
      <c r="G26" s="718" t="s">
        <v>837</v>
      </c>
      <c r="H26" s="724" t="s">
        <v>820</v>
      </c>
      <c r="I26" s="722">
        <v>165</v>
      </c>
      <c r="J26" s="1151">
        <v>758000</v>
      </c>
      <c r="K26" s="1151" t="s">
        <v>838</v>
      </c>
      <c r="L26" s="734" t="s">
        <v>781</v>
      </c>
      <c r="M26" s="735" t="s">
        <v>781</v>
      </c>
      <c r="N26" s="722"/>
    </row>
    <row r="27" spans="2:14" ht="25.5">
      <c r="B27" s="723" t="s">
        <v>839</v>
      </c>
      <c r="C27" s="718" t="s">
        <v>732</v>
      </c>
      <c r="D27" s="722">
        <v>1289</v>
      </c>
      <c r="E27" s="722">
        <v>5425</v>
      </c>
      <c r="F27" s="722">
        <v>2003</v>
      </c>
      <c r="G27" s="718" t="s">
        <v>837</v>
      </c>
      <c r="H27" s="724" t="s">
        <v>820</v>
      </c>
      <c r="I27" s="722">
        <v>358</v>
      </c>
      <c r="J27" s="1151"/>
      <c r="K27" s="1151"/>
      <c r="L27" s="734" t="s">
        <v>840</v>
      </c>
      <c r="M27" s="735" t="s">
        <v>781</v>
      </c>
      <c r="N27" s="722"/>
    </row>
    <row r="28" spans="2:14" ht="25.5">
      <c r="B28" s="723" t="s">
        <v>841</v>
      </c>
      <c r="C28" s="718" t="s">
        <v>733</v>
      </c>
      <c r="D28" s="722">
        <v>397</v>
      </c>
      <c r="E28" s="722">
        <v>2063</v>
      </c>
      <c r="F28" s="722">
        <v>1980</v>
      </c>
      <c r="G28" s="718" t="s">
        <v>834</v>
      </c>
      <c r="H28" s="724" t="s">
        <v>820</v>
      </c>
      <c r="I28" s="722">
        <v>169</v>
      </c>
      <c r="J28" s="734">
        <v>54172</v>
      </c>
      <c r="K28" s="734" t="s">
        <v>842</v>
      </c>
      <c r="L28" s="734" t="s">
        <v>840</v>
      </c>
      <c r="M28" s="735" t="s">
        <v>781</v>
      </c>
      <c r="N28" s="722"/>
    </row>
    <row r="29" spans="2:14" ht="25.5">
      <c r="B29" s="723" t="s">
        <v>843</v>
      </c>
      <c r="C29" s="718" t="s">
        <v>734</v>
      </c>
      <c r="D29" s="722">
        <v>104</v>
      </c>
      <c r="E29" s="722">
        <v>539</v>
      </c>
      <c r="F29" s="722">
        <v>1960</v>
      </c>
      <c r="G29" s="718" t="s">
        <v>759</v>
      </c>
      <c r="H29" s="724" t="s">
        <v>844</v>
      </c>
      <c r="I29" s="722">
        <v>43</v>
      </c>
      <c r="J29" s="734">
        <v>164119</v>
      </c>
      <c r="K29" s="734" t="s">
        <v>845</v>
      </c>
      <c r="L29" s="734" t="s">
        <v>781</v>
      </c>
      <c r="M29" s="735" t="s">
        <v>781</v>
      </c>
      <c r="N29" s="722"/>
    </row>
    <row r="30" spans="2:14">
      <c r="B30" s="723" t="s">
        <v>848</v>
      </c>
      <c r="C30" s="718" t="s">
        <v>846</v>
      </c>
      <c r="D30" s="722">
        <v>2449.19</v>
      </c>
      <c r="E30" s="722"/>
      <c r="F30" s="722"/>
      <c r="G30" s="718"/>
      <c r="H30" s="724"/>
      <c r="I30" s="741">
        <f>D30*S16/1000/'Budynki niekomunalne_2024'!$C$32</f>
        <v>561.45691335740059</v>
      </c>
      <c r="J30" s="729"/>
      <c r="K30" s="734"/>
      <c r="L30" s="734"/>
      <c r="M30" s="735"/>
      <c r="N30" s="722"/>
    </row>
    <row r="31" spans="2:14">
      <c r="B31" s="723" t="s">
        <v>849</v>
      </c>
      <c r="C31" s="718" t="s">
        <v>857</v>
      </c>
      <c r="D31" s="722">
        <v>1004.4</v>
      </c>
      <c r="E31" s="722"/>
      <c r="F31" s="722"/>
      <c r="G31" s="718"/>
      <c r="H31" s="724"/>
      <c r="I31" s="741">
        <f>13635*Wskaźniki!C11</f>
        <v>492.49619999999999</v>
      </c>
      <c r="J31" s="734"/>
      <c r="K31" s="734"/>
      <c r="L31" s="734"/>
      <c r="M31" s="735"/>
      <c r="N31" s="722"/>
    </row>
    <row r="32" spans="2:14">
      <c r="B32" s="723" t="s">
        <v>850</v>
      </c>
      <c r="C32" s="718" t="s">
        <v>858</v>
      </c>
      <c r="D32" s="722">
        <v>1138.2</v>
      </c>
      <c r="E32" s="722"/>
      <c r="F32" s="722"/>
      <c r="G32" s="718"/>
      <c r="H32" s="724"/>
      <c r="I32" s="1152">
        <f>21310*Wskaźniki!C11</f>
        <v>769.71719999999993</v>
      </c>
      <c r="J32" s="734"/>
      <c r="K32" s="734"/>
      <c r="L32" s="734"/>
      <c r="M32" s="735"/>
      <c r="N32" s="722"/>
    </row>
    <row r="33" spans="2:14">
      <c r="B33" s="723" t="s">
        <v>851</v>
      </c>
      <c r="C33" s="718" t="s">
        <v>859</v>
      </c>
      <c r="D33" s="722">
        <v>1074.05</v>
      </c>
      <c r="E33" s="722"/>
      <c r="F33" s="722"/>
      <c r="G33" s="718"/>
      <c r="H33" s="724"/>
      <c r="I33" s="1153"/>
      <c r="J33" s="734"/>
      <c r="K33" s="734"/>
      <c r="L33" s="734"/>
      <c r="M33" s="735"/>
      <c r="N33" s="722"/>
    </row>
    <row r="34" spans="2:14">
      <c r="B34" s="723" t="s">
        <v>852</v>
      </c>
      <c r="C34" s="718" t="s">
        <v>860</v>
      </c>
      <c r="D34" s="722">
        <v>413.69</v>
      </c>
      <c r="E34" s="722"/>
      <c r="F34" s="722"/>
      <c r="G34" s="718"/>
      <c r="H34" s="724"/>
      <c r="I34" s="741">
        <f>D34*S16/1000/'Budynki niekomunalne_2024'!$C$32</f>
        <v>94.835072202166046</v>
      </c>
      <c r="J34" s="734"/>
      <c r="K34" s="734"/>
      <c r="L34" s="734"/>
      <c r="M34" s="735"/>
      <c r="N34" s="722"/>
    </row>
    <row r="35" spans="2:14">
      <c r="B35" s="723" t="s">
        <v>853</v>
      </c>
      <c r="C35" s="718" t="s">
        <v>861</v>
      </c>
      <c r="D35" s="722">
        <v>1065.5999999999999</v>
      </c>
      <c r="E35" s="722"/>
      <c r="F35" s="722"/>
      <c r="G35" s="718"/>
      <c r="H35" s="724"/>
      <c r="I35" s="741">
        <f>D35*S16/1000/'Budynki niekomunalne_2024'!$C$32</f>
        <v>244.28014440433211</v>
      </c>
      <c r="J35" s="734"/>
      <c r="K35" s="734"/>
      <c r="L35" s="734"/>
      <c r="M35" s="735"/>
      <c r="N35" s="722"/>
    </row>
    <row r="36" spans="2:14">
      <c r="B36" s="723" t="s">
        <v>854</v>
      </c>
      <c r="C36" s="718" t="s">
        <v>862</v>
      </c>
      <c r="D36" s="722">
        <v>1994.6</v>
      </c>
      <c r="E36" s="722"/>
      <c r="F36" s="722"/>
      <c r="G36" s="718"/>
      <c r="H36" s="724"/>
      <c r="I36" s="722">
        <f>5800*Wskaźniki!C11</f>
        <v>209.49600000000001</v>
      </c>
      <c r="J36" s="734"/>
      <c r="K36" s="734"/>
      <c r="L36" s="734"/>
      <c r="M36" s="735"/>
      <c r="N36" s="722"/>
    </row>
    <row r="37" spans="2:14">
      <c r="B37" s="723" t="s">
        <v>855</v>
      </c>
      <c r="C37" s="718" t="s">
        <v>863</v>
      </c>
      <c r="D37" s="722">
        <v>1355.21</v>
      </c>
      <c r="E37" s="722"/>
      <c r="F37" s="722"/>
      <c r="G37" s="718"/>
      <c r="H37" s="724"/>
      <c r="I37" s="741">
        <f>D37*S16/1000/'Budynki niekomunalne_2024'!$C$32</f>
        <v>310.6708844765343</v>
      </c>
      <c r="J37" s="734"/>
      <c r="K37" s="734"/>
      <c r="L37" s="734"/>
      <c r="M37" s="735"/>
      <c r="N37" s="722"/>
    </row>
    <row r="38" spans="2:14">
      <c r="B38" s="723" t="s">
        <v>856</v>
      </c>
      <c r="C38" s="718" t="s">
        <v>864</v>
      </c>
      <c r="D38" s="722">
        <v>1381.29</v>
      </c>
      <c r="E38" s="722"/>
      <c r="F38" s="722"/>
      <c r="G38" s="718"/>
      <c r="H38" s="724"/>
      <c r="I38" s="741">
        <f>D38*S16/1000/'Budynki niekomunalne_2024'!$C$32</f>
        <v>316.64951263537898</v>
      </c>
      <c r="J38" s="734"/>
      <c r="K38" s="734"/>
      <c r="L38" s="734"/>
      <c r="M38" s="735"/>
      <c r="N38" s="722"/>
    </row>
    <row r="39" spans="2:14">
      <c r="B39" s="723"/>
      <c r="C39" s="718"/>
      <c r="D39" s="722"/>
      <c r="E39" s="722"/>
      <c r="F39" s="722"/>
      <c r="G39" s="718"/>
      <c r="H39" s="724"/>
      <c r="I39" s="722"/>
      <c r="J39" s="734"/>
      <c r="K39" s="734"/>
      <c r="L39" s="734"/>
      <c r="M39" s="735"/>
      <c r="N39" s="722"/>
    </row>
    <row r="40" spans="2:14">
      <c r="I40" s="739">
        <f>SUM(I5:I39)</f>
        <v>10542.421927075809</v>
      </c>
      <c r="J40" s="739">
        <f>SUM(J5:J29)</f>
        <v>1317419.841</v>
      </c>
    </row>
    <row r="41" spans="2:14">
      <c r="I41" s="740">
        <f>I40*'Budynki niekomunalne_2024'!$C$32</f>
        <v>2920.2508737999997</v>
      </c>
    </row>
  </sheetData>
  <mergeCells count="3">
    <mergeCell ref="J26:J27"/>
    <mergeCell ref="K26:K27"/>
    <mergeCell ref="I32:I3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2:T53"/>
  <sheetViews>
    <sheetView topLeftCell="D1" workbookViewId="0">
      <selection activeCell="T3" sqref="T3:T8"/>
    </sheetView>
  </sheetViews>
  <sheetFormatPr defaultRowHeight="14.25"/>
  <cols>
    <col min="1" max="1" width="4.25" customWidth="1"/>
    <col min="2" max="2" width="4.5" customWidth="1"/>
    <col min="3" max="3" width="17.875" customWidth="1"/>
    <col min="6" max="8" width="7.125" customWidth="1"/>
    <col min="9" max="11" width="6.5" customWidth="1"/>
    <col min="15" max="15" width="10.75" customWidth="1"/>
    <col min="16" max="16" width="13.125" customWidth="1"/>
    <col min="18" max="18" width="26.5" customWidth="1"/>
  </cols>
  <sheetData>
    <row r="2" spans="2:20" ht="57.75" customHeight="1">
      <c r="B2" s="694" t="s">
        <v>626</v>
      </c>
      <c r="C2" s="695" t="s">
        <v>627</v>
      </c>
      <c r="D2" s="695" t="s">
        <v>628</v>
      </c>
      <c r="E2" s="695" t="s">
        <v>629</v>
      </c>
      <c r="F2" s="695" t="s">
        <v>630</v>
      </c>
      <c r="G2" s="696" t="s">
        <v>631</v>
      </c>
      <c r="H2" s="695" t="s">
        <v>632</v>
      </c>
      <c r="I2" s="695" t="s">
        <v>633</v>
      </c>
      <c r="J2" s="695" t="s">
        <v>634</v>
      </c>
      <c r="K2" s="695" t="s">
        <v>635</v>
      </c>
      <c r="L2" s="696" t="s">
        <v>718</v>
      </c>
      <c r="M2" s="717" t="s">
        <v>48</v>
      </c>
      <c r="N2" s="717" t="s">
        <v>210</v>
      </c>
      <c r="O2" s="717" t="s">
        <v>719</v>
      </c>
      <c r="P2" s="717" t="s">
        <v>720</v>
      </c>
      <c r="R2" s="567"/>
      <c r="S2" s="207" t="s">
        <v>67</v>
      </c>
      <c r="T2" s="207" t="s">
        <v>271</v>
      </c>
    </row>
    <row r="3" spans="2:20">
      <c r="B3" s="697" t="s">
        <v>636</v>
      </c>
      <c r="C3" s="698" t="s">
        <v>637</v>
      </c>
      <c r="D3" s="699" t="s">
        <v>638</v>
      </c>
      <c r="E3" s="699" t="s">
        <v>639</v>
      </c>
      <c r="F3" s="700" t="s">
        <v>640</v>
      </c>
      <c r="G3" s="701">
        <v>55</v>
      </c>
      <c r="H3" s="702" t="s">
        <v>642</v>
      </c>
      <c r="I3" s="703">
        <v>89.14</v>
      </c>
      <c r="J3" s="703">
        <v>0</v>
      </c>
      <c r="K3" s="703">
        <v>0</v>
      </c>
      <c r="L3" s="703">
        <f>SUM(I3:K3)</f>
        <v>89.14</v>
      </c>
      <c r="M3" s="715"/>
      <c r="N3" s="715">
        <f>M3*'Budynki niekomunalne_2024'!$C$32</f>
        <v>0</v>
      </c>
      <c r="O3" s="715">
        <f>L3*Wskaźniki!$C$7</f>
        <v>72.381680000000003</v>
      </c>
      <c r="P3" s="715">
        <f>M3*Wskaźniki!$C$12</f>
        <v>0</v>
      </c>
      <c r="R3" s="709" t="s">
        <v>263</v>
      </c>
      <c r="S3" s="710" t="s">
        <v>269</v>
      </c>
      <c r="T3" s="139">
        <f>L53</f>
        <v>1922.7650000000001</v>
      </c>
    </row>
    <row r="4" spans="2:20" ht="25.5">
      <c r="B4" s="697" t="s">
        <v>643</v>
      </c>
      <c r="C4" s="698" t="s">
        <v>644</v>
      </c>
      <c r="D4" s="699" t="s">
        <v>641</v>
      </c>
      <c r="E4" s="699" t="s">
        <v>645</v>
      </c>
      <c r="F4" s="700" t="s">
        <v>646</v>
      </c>
      <c r="G4" s="701">
        <v>12.5</v>
      </c>
      <c r="H4" s="702" t="s">
        <v>647</v>
      </c>
      <c r="I4" s="703">
        <v>45.82</v>
      </c>
      <c r="J4" s="703">
        <v>0</v>
      </c>
      <c r="K4" s="703">
        <v>0</v>
      </c>
      <c r="L4" s="703">
        <f>SUM(I4:K4)</f>
        <v>45.82</v>
      </c>
      <c r="M4" s="715"/>
      <c r="N4" s="715">
        <f>M4*'Budynki niekomunalne_2024'!$C$32</f>
        <v>0</v>
      </c>
      <c r="O4" s="715">
        <f>L4*Wskaźniki!$C$7</f>
        <v>37.205840000000002</v>
      </c>
      <c r="P4" s="715">
        <f>M4*Wskaźniki!$C$12</f>
        <v>0</v>
      </c>
      <c r="R4" s="711" t="s">
        <v>264</v>
      </c>
      <c r="S4" s="710" t="s">
        <v>269</v>
      </c>
      <c r="T4" s="139">
        <f>N53</f>
        <v>2108.1168100000004</v>
      </c>
    </row>
    <row r="5" spans="2:20">
      <c r="B5" s="704">
        <v>3</v>
      </c>
      <c r="C5" s="698" t="s">
        <v>648</v>
      </c>
      <c r="D5" s="699" t="s">
        <v>638</v>
      </c>
      <c r="E5" s="699" t="s">
        <v>649</v>
      </c>
      <c r="F5" s="700"/>
      <c r="G5" s="701">
        <v>16.5</v>
      </c>
      <c r="H5" s="702" t="s">
        <v>650</v>
      </c>
      <c r="I5" s="703">
        <v>12.32</v>
      </c>
      <c r="J5" s="703">
        <v>27.18</v>
      </c>
      <c r="K5" s="703">
        <v>0</v>
      </c>
      <c r="L5" s="703">
        <f>SUM(I5:K5)</f>
        <v>39.5</v>
      </c>
      <c r="M5" s="715"/>
      <c r="N5" s="715">
        <f>M5*'Budynki niekomunalne_2024'!$C$32</f>
        <v>0</v>
      </c>
      <c r="O5" s="715">
        <f>L5*Wskaźniki!$C$7</f>
        <v>32.074000000000005</v>
      </c>
      <c r="P5" s="715">
        <f>M5*Wskaźniki!$C$12</f>
        <v>0</v>
      </c>
      <c r="R5" s="712" t="s">
        <v>267</v>
      </c>
      <c r="S5" s="713" t="s">
        <v>269</v>
      </c>
      <c r="T5" s="714">
        <f>T3+T4</f>
        <v>4030.8818100000008</v>
      </c>
    </row>
    <row r="6" spans="2:20" ht="25.5">
      <c r="B6" s="704">
        <v>4</v>
      </c>
      <c r="C6" s="698" t="s">
        <v>651</v>
      </c>
      <c r="D6" s="699" t="s">
        <v>641</v>
      </c>
      <c r="E6" s="699" t="s">
        <v>649</v>
      </c>
      <c r="F6" s="700" t="s">
        <v>652</v>
      </c>
      <c r="G6" s="701">
        <v>6.5</v>
      </c>
      <c r="H6" s="702" t="s">
        <v>647</v>
      </c>
      <c r="I6" s="703">
        <v>5.41</v>
      </c>
      <c r="J6" s="703">
        <v>0</v>
      </c>
      <c r="K6" s="703">
        <v>0</v>
      </c>
      <c r="L6" s="703">
        <f t="shared" ref="L6:L52" si="0">SUM(I6:K6)</f>
        <v>5.41</v>
      </c>
      <c r="M6" s="715"/>
      <c r="N6" s="715">
        <f>M6*'Budynki niekomunalne_2024'!$C$32</f>
        <v>0</v>
      </c>
      <c r="O6" s="715">
        <f>L6*Wskaźniki!$C$7</f>
        <v>4.3929200000000002</v>
      </c>
      <c r="P6" s="715">
        <f>M6*Wskaźniki!$C$12</f>
        <v>0</v>
      </c>
      <c r="R6" s="711" t="s">
        <v>265</v>
      </c>
      <c r="S6" s="710" t="s">
        <v>270</v>
      </c>
      <c r="T6" s="139">
        <f>O53</f>
        <v>1561.2851800000008</v>
      </c>
    </row>
    <row r="7" spans="2:20" ht="25.5">
      <c r="B7" s="704">
        <v>5</v>
      </c>
      <c r="C7" s="698" t="s">
        <v>653</v>
      </c>
      <c r="D7" s="699" t="s">
        <v>641</v>
      </c>
      <c r="E7" s="699" t="s">
        <v>654</v>
      </c>
      <c r="F7" s="700" t="s">
        <v>655</v>
      </c>
      <c r="G7" s="701">
        <v>7</v>
      </c>
      <c r="H7" s="702" t="s">
        <v>647</v>
      </c>
      <c r="I7" s="703">
        <v>32.92</v>
      </c>
      <c r="J7" s="703">
        <v>0</v>
      </c>
      <c r="K7" s="703">
        <v>0</v>
      </c>
      <c r="L7" s="703">
        <f t="shared" si="0"/>
        <v>32.92</v>
      </c>
      <c r="M7" s="715"/>
      <c r="N7" s="715">
        <f>M7*'Budynki niekomunalne_2024'!$C$32</f>
        <v>0</v>
      </c>
      <c r="O7" s="715">
        <f>L7*Wskaźniki!$C$7</f>
        <v>26.731040000000004</v>
      </c>
      <c r="P7" s="715">
        <f>M7*Wskaźniki!$C$12</f>
        <v>0</v>
      </c>
      <c r="R7" s="711" t="s">
        <v>266</v>
      </c>
      <c r="S7" s="710" t="s">
        <v>270</v>
      </c>
      <c r="T7" s="139">
        <f>P53</f>
        <v>424.81978459999999</v>
      </c>
    </row>
    <row r="8" spans="2:20">
      <c r="B8" s="704">
        <v>6</v>
      </c>
      <c r="C8" s="698" t="s">
        <v>656</v>
      </c>
      <c r="D8" s="699" t="s">
        <v>641</v>
      </c>
      <c r="E8" s="699" t="s">
        <v>657</v>
      </c>
      <c r="F8" s="700" t="s">
        <v>652</v>
      </c>
      <c r="G8" s="701">
        <v>40</v>
      </c>
      <c r="H8" s="702" t="s">
        <v>650</v>
      </c>
      <c r="I8" s="703">
        <v>10.24</v>
      </c>
      <c r="J8" s="703">
        <v>22.49</v>
      </c>
      <c r="K8" s="703">
        <v>0</v>
      </c>
      <c r="L8" s="703">
        <f t="shared" si="0"/>
        <v>32.729999999999997</v>
      </c>
      <c r="M8" s="715">
        <v>67.709999999999994</v>
      </c>
      <c r="N8" s="715">
        <f>M8*'Budynki niekomunalne_2024'!$C$32</f>
        <v>18.755669999999999</v>
      </c>
      <c r="O8" s="715">
        <f>L8*Wskaźniki!$C$7</f>
        <v>26.57676</v>
      </c>
      <c r="P8" s="715">
        <f>M8*Wskaźniki!$C$12</f>
        <v>3.7795721999999996</v>
      </c>
      <c r="R8" s="712" t="s">
        <v>268</v>
      </c>
      <c r="S8" s="713" t="s">
        <v>270</v>
      </c>
      <c r="T8" s="714">
        <f>T6+T7</f>
        <v>1986.1049646000008</v>
      </c>
    </row>
    <row r="9" spans="2:20">
      <c r="B9" s="704">
        <v>7</v>
      </c>
      <c r="C9" s="698" t="s">
        <v>658</v>
      </c>
      <c r="D9" s="699" t="s">
        <v>638</v>
      </c>
      <c r="E9" s="699" t="s">
        <v>147</v>
      </c>
      <c r="F9" s="700" t="s">
        <v>659</v>
      </c>
      <c r="G9" s="701">
        <v>35</v>
      </c>
      <c r="H9" s="702" t="s">
        <v>650</v>
      </c>
      <c r="I9" s="703">
        <v>8.64</v>
      </c>
      <c r="J9" s="703">
        <v>16.899999999999999</v>
      </c>
      <c r="K9" s="703">
        <v>0</v>
      </c>
      <c r="L9" s="703">
        <f t="shared" si="0"/>
        <v>25.54</v>
      </c>
      <c r="M9" s="715">
        <v>582.24</v>
      </c>
      <c r="N9" s="715">
        <f>M9*'Budynki niekomunalne_2024'!$C$32</f>
        <v>161.28048000000001</v>
      </c>
      <c r="O9" s="715">
        <f>L9*Wskaźniki!$C$7</f>
        <v>20.738479999999999</v>
      </c>
      <c r="P9" s="715">
        <f>M9*Wskaźniki!$C$12</f>
        <v>32.500636800000002</v>
      </c>
    </row>
    <row r="10" spans="2:20" ht="25.5">
      <c r="B10" s="704">
        <v>8</v>
      </c>
      <c r="C10" s="698" t="s">
        <v>660</v>
      </c>
      <c r="D10" s="699" t="s">
        <v>641</v>
      </c>
      <c r="E10" s="699" t="s">
        <v>645</v>
      </c>
      <c r="F10" s="700" t="s">
        <v>646</v>
      </c>
      <c r="G10" s="701">
        <v>66</v>
      </c>
      <c r="H10" s="702" t="s">
        <v>642</v>
      </c>
      <c r="I10" s="703">
        <v>48.4</v>
      </c>
      <c r="J10" s="703">
        <v>0</v>
      </c>
      <c r="K10" s="703">
        <v>0</v>
      </c>
      <c r="L10" s="703">
        <f t="shared" si="0"/>
        <v>48.4</v>
      </c>
      <c r="M10" s="715">
        <v>1376.6</v>
      </c>
      <c r="N10" s="715">
        <f>M10*'Budynki niekomunalne_2024'!$C$32</f>
        <v>381.31819999999999</v>
      </c>
      <c r="O10" s="715">
        <f>L10*Wskaźniki!$C$7</f>
        <v>39.300800000000002</v>
      </c>
      <c r="P10" s="715">
        <f>M10*Wskaźniki!$C$12</f>
        <v>76.84181199999999</v>
      </c>
    </row>
    <row r="11" spans="2:20" ht="25.5">
      <c r="B11" s="704">
        <v>9</v>
      </c>
      <c r="C11" s="698" t="s">
        <v>661</v>
      </c>
      <c r="D11" s="699" t="s">
        <v>641</v>
      </c>
      <c r="E11" s="699" t="s">
        <v>149</v>
      </c>
      <c r="F11" s="700" t="s">
        <v>662</v>
      </c>
      <c r="G11" s="701">
        <v>32.5</v>
      </c>
      <c r="H11" s="702" t="s">
        <v>650</v>
      </c>
      <c r="I11" s="703">
        <v>21.97</v>
      </c>
      <c r="J11" s="703">
        <v>41.42</v>
      </c>
      <c r="K11" s="703">
        <v>0</v>
      </c>
      <c r="L11" s="703">
        <f t="shared" si="0"/>
        <v>63.39</v>
      </c>
      <c r="M11" s="715">
        <v>391.5</v>
      </c>
      <c r="N11" s="715">
        <f>M11*'Budynki niekomunalne_2024'!$C$32</f>
        <v>108.44550000000001</v>
      </c>
      <c r="O11" s="715">
        <f>L11*Wskaźniki!$C$7</f>
        <v>51.472680000000004</v>
      </c>
      <c r="P11" s="715">
        <f>M11*Wskaźniki!$C$12</f>
        <v>21.853529999999999</v>
      </c>
    </row>
    <row r="12" spans="2:20" ht="25.5">
      <c r="B12" s="704">
        <v>10</v>
      </c>
      <c r="C12" s="698" t="s">
        <v>663</v>
      </c>
      <c r="D12" s="699" t="s">
        <v>641</v>
      </c>
      <c r="E12" s="699" t="s">
        <v>645</v>
      </c>
      <c r="F12" s="700" t="s">
        <v>664</v>
      </c>
      <c r="G12" s="701">
        <v>35</v>
      </c>
      <c r="H12" s="702" t="s">
        <v>650</v>
      </c>
      <c r="I12" s="703">
        <v>5.01</v>
      </c>
      <c r="J12" s="703">
        <v>9.52</v>
      </c>
      <c r="K12" s="703">
        <v>0</v>
      </c>
      <c r="L12" s="703">
        <f t="shared" si="0"/>
        <v>14.53</v>
      </c>
      <c r="M12" s="715">
        <v>366</v>
      </c>
      <c r="N12" s="715">
        <f>M12*'Budynki niekomunalne_2024'!$C$32</f>
        <v>101.38200000000001</v>
      </c>
      <c r="O12" s="715">
        <f>L12*Wskaźniki!$C$7</f>
        <v>11.798360000000001</v>
      </c>
      <c r="P12" s="715">
        <f>M12*Wskaźniki!$C$12</f>
        <v>20.430120000000002</v>
      </c>
    </row>
    <row r="13" spans="2:20" ht="38.25">
      <c r="B13" s="704">
        <v>11</v>
      </c>
      <c r="C13" s="698" t="s">
        <v>665</v>
      </c>
      <c r="D13" s="699" t="s">
        <v>641</v>
      </c>
      <c r="E13" s="699" t="s">
        <v>666</v>
      </c>
      <c r="F13" s="700" t="s">
        <v>659</v>
      </c>
      <c r="G13" s="701">
        <v>12.5</v>
      </c>
      <c r="H13" s="702" t="s">
        <v>647</v>
      </c>
      <c r="I13" s="703">
        <v>12.15</v>
      </c>
      <c r="J13" s="703">
        <v>0</v>
      </c>
      <c r="K13" s="703">
        <v>0</v>
      </c>
      <c r="L13" s="703">
        <f t="shared" si="0"/>
        <v>12.15</v>
      </c>
      <c r="M13" s="715"/>
      <c r="N13" s="715">
        <f>M13*'Budynki niekomunalne_2024'!$C$32</f>
        <v>0</v>
      </c>
      <c r="O13" s="715">
        <f>L13*Wskaźniki!$C$7</f>
        <v>9.8658000000000001</v>
      </c>
      <c r="P13" s="715">
        <f>M13*Wskaźniki!$C$12</f>
        <v>0</v>
      </c>
    </row>
    <row r="14" spans="2:20" ht="25.5">
      <c r="B14" s="704">
        <v>12</v>
      </c>
      <c r="C14" s="698" t="s">
        <v>667</v>
      </c>
      <c r="D14" s="699" t="s">
        <v>148</v>
      </c>
      <c r="E14" s="699"/>
      <c r="F14" s="700" t="s">
        <v>668</v>
      </c>
      <c r="G14" s="701">
        <v>20.5</v>
      </c>
      <c r="H14" s="702" t="s">
        <v>647</v>
      </c>
      <c r="I14" s="703">
        <v>3.54</v>
      </c>
      <c r="J14" s="703">
        <v>0</v>
      </c>
      <c r="K14" s="703">
        <v>0</v>
      </c>
      <c r="L14" s="703">
        <f t="shared" si="0"/>
        <v>3.54</v>
      </c>
      <c r="M14" s="715"/>
      <c r="N14" s="715">
        <f>M14*'Budynki niekomunalne_2024'!$C$32</f>
        <v>0</v>
      </c>
      <c r="O14" s="715">
        <f>L14*Wskaźniki!$C$7</f>
        <v>2.8744800000000001</v>
      </c>
      <c r="P14" s="715">
        <f>M14*Wskaźniki!$C$12</f>
        <v>0</v>
      </c>
    </row>
    <row r="15" spans="2:20" ht="25.5">
      <c r="B15" s="704">
        <v>13</v>
      </c>
      <c r="C15" s="698" t="s">
        <v>669</v>
      </c>
      <c r="D15" s="699" t="s">
        <v>641</v>
      </c>
      <c r="E15" s="699"/>
      <c r="F15" s="700"/>
      <c r="G15" s="701">
        <v>158</v>
      </c>
      <c r="H15" s="702" t="s">
        <v>642</v>
      </c>
      <c r="I15" s="703">
        <v>28.65</v>
      </c>
      <c r="J15" s="703">
        <v>0</v>
      </c>
      <c r="K15" s="703">
        <v>0</v>
      </c>
      <c r="L15" s="703">
        <f t="shared" si="0"/>
        <v>28.65</v>
      </c>
      <c r="M15" s="715"/>
      <c r="N15" s="715">
        <f>M15*'Budynki niekomunalne_2024'!$C$32</f>
        <v>0</v>
      </c>
      <c r="O15" s="715">
        <f>L15*Wskaźniki!$C$7</f>
        <v>23.2638</v>
      </c>
      <c r="P15" s="715">
        <f>M15*Wskaźniki!$C$12</f>
        <v>0</v>
      </c>
    </row>
    <row r="16" spans="2:20">
      <c r="B16" s="704">
        <v>14</v>
      </c>
      <c r="C16" s="698" t="s">
        <v>670</v>
      </c>
      <c r="D16" s="699" t="s">
        <v>641</v>
      </c>
      <c r="E16" s="699" t="s">
        <v>671</v>
      </c>
      <c r="F16" s="700"/>
      <c r="G16" s="701">
        <v>41</v>
      </c>
      <c r="H16" s="702" t="s">
        <v>642</v>
      </c>
      <c r="I16" s="703">
        <v>18.170000000000002</v>
      </c>
      <c r="J16" s="703">
        <v>0</v>
      </c>
      <c r="K16" s="703">
        <v>0</v>
      </c>
      <c r="L16" s="703">
        <f t="shared" si="0"/>
        <v>18.170000000000002</v>
      </c>
      <c r="M16" s="715">
        <v>67.709999999999994</v>
      </c>
      <c r="N16" s="715">
        <f>M16*'Budynki niekomunalne_2024'!$C$32</f>
        <v>18.755669999999999</v>
      </c>
      <c r="O16" s="715">
        <f>L16*Wskaźniki!$C$7</f>
        <v>14.754040000000002</v>
      </c>
      <c r="P16" s="715">
        <f>M16*Wskaźniki!$C$12</f>
        <v>3.7795721999999996</v>
      </c>
    </row>
    <row r="17" spans="2:16" ht="15">
      <c r="B17" s="704">
        <v>15</v>
      </c>
      <c r="C17" s="718" t="s">
        <v>764</v>
      </c>
      <c r="D17" s="699" t="s">
        <v>641</v>
      </c>
      <c r="E17" s="699" t="s">
        <v>671</v>
      </c>
      <c r="F17" s="700" t="s">
        <v>763</v>
      </c>
      <c r="G17" s="701">
        <v>7</v>
      </c>
      <c r="H17" s="702" t="s">
        <v>647</v>
      </c>
      <c r="I17" s="703">
        <v>3.55</v>
      </c>
      <c r="J17" s="703">
        <v>0</v>
      </c>
      <c r="K17" s="703">
        <v>0</v>
      </c>
      <c r="L17" s="703">
        <f t="shared" si="0"/>
        <v>3.55</v>
      </c>
      <c r="M17" s="715">
        <v>74.06</v>
      </c>
      <c r="N17" s="715">
        <f>M17*'Budynki niekomunalne_2024'!$C$32</f>
        <v>20.514620000000001</v>
      </c>
      <c r="O17" s="715">
        <f>L17*Wskaźniki!$C$7</f>
        <v>2.8826000000000001</v>
      </c>
      <c r="P17" s="715">
        <f>M17*Wskaźniki!$C$12</f>
        <v>4.1340292000000005</v>
      </c>
    </row>
    <row r="18" spans="2:16">
      <c r="B18" s="704">
        <v>16</v>
      </c>
      <c r="C18" s="698" t="s">
        <v>672</v>
      </c>
      <c r="D18" s="699" t="s">
        <v>641</v>
      </c>
      <c r="E18" s="699" t="s">
        <v>673</v>
      </c>
      <c r="F18" s="700" t="s">
        <v>674</v>
      </c>
      <c r="G18" s="701">
        <v>25</v>
      </c>
      <c r="H18" s="702" t="s">
        <v>647</v>
      </c>
      <c r="I18" s="703">
        <v>7.75</v>
      </c>
      <c r="J18" s="703">
        <v>0</v>
      </c>
      <c r="K18" s="703">
        <v>0</v>
      </c>
      <c r="L18" s="703">
        <f t="shared" si="0"/>
        <v>7.75</v>
      </c>
      <c r="M18" s="715"/>
      <c r="N18" s="715">
        <f>M18*'Budynki niekomunalne_2024'!$C$32</f>
        <v>0</v>
      </c>
      <c r="O18" s="715">
        <f>L18*Wskaźniki!$C$7</f>
        <v>6.2930000000000001</v>
      </c>
      <c r="P18" s="715">
        <f>M18*Wskaźniki!$C$12</f>
        <v>0</v>
      </c>
    </row>
    <row r="19" spans="2:16" ht="25.5" customHeight="1">
      <c r="B19" s="704">
        <v>17</v>
      </c>
      <c r="C19" s="698" t="s">
        <v>675</v>
      </c>
      <c r="D19" s="699" t="s">
        <v>638</v>
      </c>
      <c r="E19" s="699" t="s">
        <v>671</v>
      </c>
      <c r="F19" s="700" t="s">
        <v>676</v>
      </c>
      <c r="G19" s="701">
        <v>11</v>
      </c>
      <c r="H19" s="702" t="s">
        <v>647</v>
      </c>
      <c r="I19" s="703">
        <v>7.6</v>
      </c>
      <c r="J19" s="703">
        <v>0</v>
      </c>
      <c r="K19" s="703">
        <v>0</v>
      </c>
      <c r="L19" s="703">
        <f t="shared" si="0"/>
        <v>7.6</v>
      </c>
      <c r="M19" s="715">
        <v>74.06</v>
      </c>
      <c r="N19" s="715">
        <f>M19*'Budynki niekomunalne_2024'!$C$32</f>
        <v>20.514620000000001</v>
      </c>
      <c r="O19" s="715">
        <f>L19*Wskaźniki!$C$7</f>
        <v>6.1711999999999998</v>
      </c>
      <c r="P19" s="715">
        <f>M19*Wskaźniki!$C$12</f>
        <v>4.1340292000000005</v>
      </c>
    </row>
    <row r="20" spans="2:16">
      <c r="B20" s="704">
        <v>18</v>
      </c>
      <c r="C20" s="698" t="s">
        <v>677</v>
      </c>
      <c r="D20" s="699" t="s">
        <v>641</v>
      </c>
      <c r="E20" s="699" t="s">
        <v>649</v>
      </c>
      <c r="F20" s="700" t="s">
        <v>678</v>
      </c>
      <c r="G20" s="701">
        <v>14</v>
      </c>
      <c r="H20" s="702" t="s">
        <v>650</v>
      </c>
      <c r="I20" s="703">
        <v>2.92</v>
      </c>
      <c r="J20" s="703">
        <v>6.87</v>
      </c>
      <c r="K20" s="703">
        <v>0</v>
      </c>
      <c r="L20" s="703">
        <f t="shared" si="0"/>
        <v>9.7899999999999991</v>
      </c>
      <c r="M20" s="715"/>
      <c r="N20" s="715">
        <f>M20*'Budynki niekomunalne_2024'!$C$32</f>
        <v>0</v>
      </c>
      <c r="O20" s="715">
        <f>L20*Wskaźniki!$C$7</f>
        <v>7.9494799999999994</v>
      </c>
      <c r="P20" s="715">
        <f>M20*Wskaźniki!$C$12</f>
        <v>0</v>
      </c>
    </row>
    <row r="21" spans="2:16" ht="26.25" customHeight="1">
      <c r="B21" s="704">
        <v>19</v>
      </c>
      <c r="C21" s="698" t="s">
        <v>679</v>
      </c>
      <c r="D21" s="699" t="s">
        <v>638</v>
      </c>
      <c r="E21" s="699" t="s">
        <v>671</v>
      </c>
      <c r="F21" s="700" t="s">
        <v>676</v>
      </c>
      <c r="G21" s="701">
        <v>11</v>
      </c>
      <c r="H21" s="702" t="s">
        <v>647</v>
      </c>
      <c r="I21" s="703">
        <v>43.21</v>
      </c>
      <c r="J21" s="703">
        <v>0</v>
      </c>
      <c r="K21" s="703">
        <v>0</v>
      </c>
      <c r="L21" s="703">
        <f t="shared" si="0"/>
        <v>43.21</v>
      </c>
      <c r="M21" s="715">
        <v>222.18</v>
      </c>
      <c r="N21" s="715">
        <f>M21*'Budynki niekomunalne_2024'!$C$32</f>
        <v>61.543860000000009</v>
      </c>
      <c r="O21" s="715">
        <f>L21*Wskaźniki!$C$7</f>
        <v>35.08652</v>
      </c>
      <c r="P21" s="715">
        <f>M21*Wskaźniki!$C$12</f>
        <v>12.402087600000002</v>
      </c>
    </row>
    <row r="22" spans="2:16" ht="25.5">
      <c r="B22" s="704">
        <v>20</v>
      </c>
      <c r="C22" s="698" t="s">
        <v>680</v>
      </c>
      <c r="D22" s="699" t="s">
        <v>641</v>
      </c>
      <c r="E22" s="699" t="s">
        <v>681</v>
      </c>
      <c r="F22" s="700" t="s">
        <v>676</v>
      </c>
      <c r="G22" s="701">
        <v>7</v>
      </c>
      <c r="H22" s="702" t="s">
        <v>647</v>
      </c>
      <c r="I22" s="703">
        <v>8.2799999999999994</v>
      </c>
      <c r="J22" s="703">
        <v>0</v>
      </c>
      <c r="K22" s="703">
        <v>0</v>
      </c>
      <c r="L22" s="703">
        <f t="shared" si="0"/>
        <v>8.2799999999999994</v>
      </c>
      <c r="M22" s="715"/>
      <c r="N22" s="715">
        <f>M22*'Budynki niekomunalne_2024'!$C$32</f>
        <v>0</v>
      </c>
      <c r="O22" s="715">
        <f>L22*Wskaźniki!$C$7</f>
        <v>6.7233599999999996</v>
      </c>
      <c r="P22" s="715">
        <f>M22*Wskaźniki!$C$12</f>
        <v>0</v>
      </c>
    </row>
    <row r="23" spans="2:16">
      <c r="B23" s="704">
        <v>21</v>
      </c>
      <c r="C23" s="698" t="s">
        <v>682</v>
      </c>
      <c r="D23" s="699" t="s">
        <v>638</v>
      </c>
      <c r="E23" s="699" t="s">
        <v>683</v>
      </c>
      <c r="F23" s="700" t="s">
        <v>684</v>
      </c>
      <c r="G23" s="701">
        <v>11</v>
      </c>
      <c r="H23" s="702" t="s">
        <v>650</v>
      </c>
      <c r="I23" s="703">
        <v>1.85</v>
      </c>
      <c r="J23" s="703">
        <v>4.53</v>
      </c>
      <c r="K23" s="703">
        <v>0</v>
      </c>
      <c r="L23" s="703">
        <f t="shared" si="0"/>
        <v>6.3800000000000008</v>
      </c>
      <c r="M23" s="715">
        <v>74.06</v>
      </c>
      <c r="N23" s="715">
        <f>M23*'Budynki niekomunalne_2024'!$C$32</f>
        <v>20.514620000000001</v>
      </c>
      <c r="O23" s="715">
        <f>L23*Wskaźniki!$C$7</f>
        <v>5.1805600000000007</v>
      </c>
      <c r="P23" s="715">
        <f>M23*Wskaźniki!$C$12</f>
        <v>4.1340292000000005</v>
      </c>
    </row>
    <row r="24" spans="2:16">
      <c r="B24" s="704">
        <v>22</v>
      </c>
      <c r="C24" s="698" t="s">
        <v>685</v>
      </c>
      <c r="D24" s="699" t="s">
        <v>641</v>
      </c>
      <c r="E24" s="699" t="s">
        <v>686</v>
      </c>
      <c r="F24" s="700" t="s">
        <v>687</v>
      </c>
      <c r="G24" s="701">
        <v>20.5</v>
      </c>
      <c r="H24" s="702" t="s">
        <v>647</v>
      </c>
      <c r="I24" s="703">
        <v>30.25</v>
      </c>
      <c r="J24" s="703">
        <v>0</v>
      </c>
      <c r="K24" s="703">
        <v>0</v>
      </c>
      <c r="L24" s="703">
        <f t="shared" si="0"/>
        <v>30.25</v>
      </c>
      <c r="M24" s="715"/>
      <c r="N24" s="715">
        <f>M24*'Budynki niekomunalne_2024'!$C$32</f>
        <v>0</v>
      </c>
      <c r="O24" s="715">
        <f>L24*Wskaźniki!$C$7</f>
        <v>24.563000000000002</v>
      </c>
      <c r="P24" s="715">
        <f>M24*Wskaźniki!$C$12</f>
        <v>0</v>
      </c>
    </row>
    <row r="25" spans="2:16">
      <c r="B25" s="704">
        <v>23</v>
      </c>
      <c r="C25" s="698" t="s">
        <v>688</v>
      </c>
      <c r="D25" s="699" t="s">
        <v>641</v>
      </c>
      <c r="E25" s="699" t="s">
        <v>689</v>
      </c>
      <c r="F25" s="700"/>
      <c r="G25" s="701">
        <v>4</v>
      </c>
      <c r="H25" s="702" t="s">
        <v>690</v>
      </c>
      <c r="I25" s="703">
        <v>0.01</v>
      </c>
      <c r="J25" s="703">
        <v>0</v>
      </c>
      <c r="K25" s="703">
        <v>0</v>
      </c>
      <c r="L25" s="703">
        <f t="shared" si="0"/>
        <v>0.01</v>
      </c>
      <c r="M25" s="715"/>
      <c r="N25" s="715">
        <f>M25*'Budynki niekomunalne_2024'!$C$32</f>
        <v>0</v>
      </c>
      <c r="O25" s="715">
        <f>L25*Wskaźniki!$C$7</f>
        <v>8.1200000000000005E-3</v>
      </c>
      <c r="P25" s="715">
        <f>M25*Wskaźniki!$C$12</f>
        <v>0</v>
      </c>
    </row>
    <row r="26" spans="2:16">
      <c r="B26" s="704">
        <v>24</v>
      </c>
      <c r="C26" s="698" t="s">
        <v>688</v>
      </c>
      <c r="D26" s="699" t="s">
        <v>641</v>
      </c>
      <c r="E26" s="699" t="s">
        <v>144</v>
      </c>
      <c r="F26" s="700" t="s">
        <v>691</v>
      </c>
      <c r="G26" s="701">
        <v>4</v>
      </c>
      <c r="H26" s="702" t="s">
        <v>690</v>
      </c>
      <c r="I26" s="703">
        <v>0.01</v>
      </c>
      <c r="J26" s="703">
        <v>0</v>
      </c>
      <c r="K26" s="703">
        <v>0</v>
      </c>
      <c r="L26" s="703">
        <f t="shared" si="0"/>
        <v>0.01</v>
      </c>
      <c r="M26" s="715"/>
      <c r="N26" s="715">
        <f>M26*'Budynki niekomunalne_2024'!$C$32</f>
        <v>0</v>
      </c>
      <c r="O26" s="715">
        <f>L26*Wskaźniki!$C$7</f>
        <v>8.1200000000000005E-3</v>
      </c>
      <c r="P26" s="715">
        <f>M26*Wskaźniki!$C$12</f>
        <v>0</v>
      </c>
    </row>
    <row r="27" spans="2:16">
      <c r="B27" s="704">
        <v>25</v>
      </c>
      <c r="C27" s="698" t="s">
        <v>688</v>
      </c>
      <c r="D27" s="699" t="s">
        <v>641</v>
      </c>
      <c r="E27" s="699" t="s">
        <v>692</v>
      </c>
      <c r="F27" s="700" t="s">
        <v>643</v>
      </c>
      <c r="G27" s="701">
        <v>4</v>
      </c>
      <c r="H27" s="702" t="s">
        <v>690</v>
      </c>
      <c r="I27" s="703">
        <v>0.01</v>
      </c>
      <c r="J27" s="703">
        <v>0</v>
      </c>
      <c r="K27" s="703">
        <v>0</v>
      </c>
      <c r="L27" s="703">
        <f t="shared" si="0"/>
        <v>0.01</v>
      </c>
      <c r="M27" s="715"/>
      <c r="N27" s="715">
        <f>M27*'Budynki niekomunalne_2024'!$C$32</f>
        <v>0</v>
      </c>
      <c r="O27" s="715">
        <f>L27*Wskaźniki!$C$7</f>
        <v>8.1200000000000005E-3</v>
      </c>
      <c r="P27" s="715">
        <f>M27*Wskaźniki!$C$12</f>
        <v>0</v>
      </c>
    </row>
    <row r="28" spans="2:16">
      <c r="B28" s="704">
        <v>26</v>
      </c>
      <c r="C28" s="698" t="s">
        <v>688</v>
      </c>
      <c r="D28" s="699" t="s">
        <v>641</v>
      </c>
      <c r="E28" s="699" t="s">
        <v>693</v>
      </c>
      <c r="F28" s="700" t="s">
        <v>678</v>
      </c>
      <c r="G28" s="701">
        <v>4</v>
      </c>
      <c r="H28" s="702" t="s">
        <v>690</v>
      </c>
      <c r="I28" s="703">
        <v>0.01</v>
      </c>
      <c r="J28" s="703">
        <v>0</v>
      </c>
      <c r="K28" s="703">
        <v>0</v>
      </c>
      <c r="L28" s="703">
        <f t="shared" si="0"/>
        <v>0.01</v>
      </c>
      <c r="M28" s="715"/>
      <c r="N28" s="715">
        <f>M28*'Budynki niekomunalne_2024'!$C$32</f>
        <v>0</v>
      </c>
      <c r="O28" s="715">
        <f>L28*Wskaźniki!$C$7</f>
        <v>8.1200000000000005E-3</v>
      </c>
      <c r="P28" s="715">
        <f>M28*Wskaźniki!$C$12</f>
        <v>0</v>
      </c>
    </row>
    <row r="29" spans="2:16" ht="25.5">
      <c r="B29" s="704">
        <v>27</v>
      </c>
      <c r="C29" s="698" t="s">
        <v>688</v>
      </c>
      <c r="D29" s="699" t="s">
        <v>641</v>
      </c>
      <c r="E29" s="699" t="s">
        <v>149</v>
      </c>
      <c r="F29" s="700" t="s">
        <v>662</v>
      </c>
      <c r="G29" s="701">
        <v>4</v>
      </c>
      <c r="H29" s="702" t="s">
        <v>690</v>
      </c>
      <c r="I29" s="703">
        <v>0.01</v>
      </c>
      <c r="J29" s="703">
        <v>0</v>
      </c>
      <c r="K29" s="703">
        <v>0</v>
      </c>
      <c r="L29" s="703">
        <f t="shared" si="0"/>
        <v>0.01</v>
      </c>
      <c r="M29" s="715"/>
      <c r="N29" s="715">
        <f>M29*'Budynki niekomunalne_2024'!$C$32</f>
        <v>0</v>
      </c>
      <c r="O29" s="715">
        <f>L29*Wskaźniki!$C$7</f>
        <v>8.1200000000000005E-3</v>
      </c>
      <c r="P29" s="715">
        <f>M29*Wskaźniki!$C$12</f>
        <v>0</v>
      </c>
    </row>
    <row r="30" spans="2:16">
      <c r="B30" s="704">
        <v>28</v>
      </c>
      <c r="C30" s="698" t="s">
        <v>688</v>
      </c>
      <c r="D30" s="699" t="s">
        <v>641</v>
      </c>
      <c r="E30" s="699" t="s">
        <v>694</v>
      </c>
      <c r="F30" s="700"/>
      <c r="G30" s="701">
        <v>4</v>
      </c>
      <c r="H30" s="702" t="s">
        <v>690</v>
      </c>
      <c r="I30" s="703">
        <v>0.01</v>
      </c>
      <c r="J30" s="703">
        <v>0</v>
      </c>
      <c r="K30" s="703">
        <v>0</v>
      </c>
      <c r="L30" s="703">
        <f t="shared" si="0"/>
        <v>0.01</v>
      </c>
      <c r="M30" s="715"/>
      <c r="N30" s="715">
        <f>M30*'Budynki niekomunalne_2024'!$C$32</f>
        <v>0</v>
      </c>
      <c r="O30" s="715">
        <f>L30*Wskaźniki!$C$7</f>
        <v>8.1200000000000005E-3</v>
      </c>
      <c r="P30" s="715">
        <f>M30*Wskaźniki!$C$12</f>
        <v>0</v>
      </c>
    </row>
    <row r="31" spans="2:16">
      <c r="B31" s="704">
        <v>29</v>
      </c>
      <c r="C31" s="698" t="s">
        <v>695</v>
      </c>
      <c r="D31" s="699" t="s">
        <v>641</v>
      </c>
      <c r="E31" s="699" t="s">
        <v>696</v>
      </c>
      <c r="F31" s="700" t="s">
        <v>697</v>
      </c>
      <c r="G31" s="701">
        <v>30</v>
      </c>
      <c r="H31" s="702" t="s">
        <v>647</v>
      </c>
      <c r="I31" s="703">
        <v>23.71</v>
      </c>
      <c r="J31" s="703">
        <v>0</v>
      </c>
      <c r="K31" s="703">
        <v>0</v>
      </c>
      <c r="L31" s="703">
        <f t="shared" si="0"/>
        <v>23.71</v>
      </c>
      <c r="M31" s="715"/>
      <c r="N31" s="715">
        <f>M31*'Budynki niekomunalne_2024'!$C$32</f>
        <v>0</v>
      </c>
      <c r="O31" s="715">
        <f>L31*Wskaźniki!$C$7</f>
        <v>19.252520000000001</v>
      </c>
      <c r="P31" s="715">
        <f>M31*Wskaźniki!$C$12</f>
        <v>0</v>
      </c>
    </row>
    <row r="32" spans="2:16" ht="25.5">
      <c r="B32" s="704">
        <v>30</v>
      </c>
      <c r="C32" s="698" t="s">
        <v>667</v>
      </c>
      <c r="D32" s="699" t="s">
        <v>641</v>
      </c>
      <c r="E32" s="699" t="s">
        <v>698</v>
      </c>
      <c r="F32" s="700"/>
      <c r="G32" s="701">
        <v>12.5</v>
      </c>
      <c r="H32" s="702" t="s">
        <v>647</v>
      </c>
      <c r="I32" s="703">
        <v>20.68</v>
      </c>
      <c r="J32" s="703">
        <v>0</v>
      </c>
      <c r="K32" s="703">
        <v>0</v>
      </c>
      <c r="L32" s="703">
        <f t="shared" si="0"/>
        <v>20.68</v>
      </c>
      <c r="M32" s="715"/>
      <c r="N32" s="715">
        <f>M32*'Budynki niekomunalne_2024'!$C$32</f>
        <v>0</v>
      </c>
      <c r="O32" s="715">
        <f>L32*Wskaźniki!$C$7</f>
        <v>16.792160000000003</v>
      </c>
      <c r="P32" s="715">
        <f>M32*Wskaźniki!$C$12</f>
        <v>0</v>
      </c>
    </row>
    <row r="33" spans="2:16">
      <c r="B33" s="704">
        <v>31</v>
      </c>
      <c r="C33" s="698" t="s">
        <v>699</v>
      </c>
      <c r="D33" s="699" t="s">
        <v>641</v>
      </c>
      <c r="E33" s="699" t="s">
        <v>649</v>
      </c>
      <c r="F33" s="700" t="s">
        <v>700</v>
      </c>
      <c r="G33" s="701">
        <v>100</v>
      </c>
      <c r="H33" s="702" t="s">
        <v>642</v>
      </c>
      <c r="I33" s="703">
        <v>107.2</v>
      </c>
      <c r="J33" s="703">
        <v>0</v>
      </c>
      <c r="K33" s="703">
        <v>0</v>
      </c>
      <c r="L33" s="703">
        <f t="shared" si="0"/>
        <v>107.2</v>
      </c>
      <c r="M33" s="715"/>
      <c r="N33" s="715">
        <f>M33*'Budynki niekomunalne_2024'!$C$32</f>
        <v>0</v>
      </c>
      <c r="O33" s="715">
        <f>L33*Wskaźniki!$C$7</f>
        <v>87.046400000000006</v>
      </c>
      <c r="P33" s="715">
        <f>M33*Wskaźniki!$C$12</f>
        <v>0</v>
      </c>
    </row>
    <row r="34" spans="2:16">
      <c r="B34" s="704">
        <v>32</v>
      </c>
      <c r="C34" s="698" t="s">
        <v>701</v>
      </c>
      <c r="D34" s="699" t="s">
        <v>641</v>
      </c>
      <c r="E34" s="699" t="s">
        <v>702</v>
      </c>
      <c r="F34" s="700" t="s">
        <v>703</v>
      </c>
      <c r="G34" s="701">
        <v>85</v>
      </c>
      <c r="H34" s="702" t="s">
        <v>642</v>
      </c>
      <c r="I34" s="703">
        <v>65.02</v>
      </c>
      <c r="J34" s="703">
        <v>0</v>
      </c>
      <c r="K34" s="703">
        <v>0</v>
      </c>
      <c r="L34" s="703">
        <f t="shared" si="0"/>
        <v>65.02</v>
      </c>
      <c r="M34" s="715"/>
      <c r="N34" s="715">
        <f>M34*'Budynki niekomunalne_2024'!$C$32</f>
        <v>0</v>
      </c>
      <c r="O34" s="715">
        <f>L34*Wskaźniki!$C$7</f>
        <v>52.796239999999997</v>
      </c>
      <c r="P34" s="715">
        <f>M34*Wskaźniki!$C$12</f>
        <v>0</v>
      </c>
    </row>
    <row r="35" spans="2:16">
      <c r="B35" s="704">
        <v>33</v>
      </c>
      <c r="C35" s="698" t="s">
        <v>704</v>
      </c>
      <c r="D35" s="699" t="s">
        <v>641</v>
      </c>
      <c r="E35" s="699" t="s">
        <v>705</v>
      </c>
      <c r="F35" s="700"/>
      <c r="G35" s="701">
        <v>25</v>
      </c>
      <c r="H35" s="702" t="s">
        <v>647</v>
      </c>
      <c r="I35" s="703">
        <v>0.7</v>
      </c>
      <c r="J35" s="703">
        <v>0</v>
      </c>
      <c r="K35" s="703">
        <v>0</v>
      </c>
      <c r="L35" s="703">
        <f t="shared" si="0"/>
        <v>0.7</v>
      </c>
      <c r="M35" s="715"/>
      <c r="N35" s="715">
        <f>M35*'Budynki niekomunalne_2024'!$C$32</f>
        <v>0</v>
      </c>
      <c r="O35" s="715">
        <f>L35*Wskaźniki!$C$7</f>
        <v>0.56840000000000002</v>
      </c>
      <c r="P35" s="715">
        <f>M35*Wskaźniki!$C$12</f>
        <v>0</v>
      </c>
    </row>
    <row r="36" spans="2:16">
      <c r="B36" s="704">
        <v>34</v>
      </c>
      <c r="C36" s="698" t="s">
        <v>706</v>
      </c>
      <c r="D36" s="699" t="s">
        <v>641</v>
      </c>
      <c r="E36" s="699" t="s">
        <v>705</v>
      </c>
      <c r="F36" s="700" t="s">
        <v>707</v>
      </c>
      <c r="G36" s="701">
        <v>25</v>
      </c>
      <c r="H36" s="702" t="s">
        <v>647</v>
      </c>
      <c r="I36" s="703">
        <v>7.19</v>
      </c>
      <c r="J36" s="703">
        <v>0</v>
      </c>
      <c r="K36" s="703">
        <v>0</v>
      </c>
      <c r="L36" s="703">
        <f t="shared" si="0"/>
        <v>7.19</v>
      </c>
      <c r="M36" s="715"/>
      <c r="N36" s="715">
        <f>M36*'Budynki niekomunalne_2024'!$C$32</f>
        <v>0</v>
      </c>
      <c r="O36" s="715">
        <f>L36*Wskaźniki!$C$7</f>
        <v>5.838280000000001</v>
      </c>
      <c r="P36" s="715">
        <f>M36*Wskaźniki!$C$12</f>
        <v>0</v>
      </c>
    </row>
    <row r="37" spans="2:16" ht="25.5">
      <c r="B37" s="704">
        <v>35</v>
      </c>
      <c r="C37" s="698" t="s">
        <v>667</v>
      </c>
      <c r="D37" s="699" t="s">
        <v>641</v>
      </c>
      <c r="E37" s="699" t="s">
        <v>708</v>
      </c>
      <c r="F37" s="700" t="s">
        <v>709</v>
      </c>
      <c r="G37" s="701">
        <v>20.5</v>
      </c>
      <c r="H37" s="702" t="s">
        <v>647</v>
      </c>
      <c r="I37" s="703">
        <v>1.5</v>
      </c>
      <c r="J37" s="703">
        <v>0</v>
      </c>
      <c r="K37" s="703">
        <v>0</v>
      </c>
      <c r="L37" s="703">
        <f t="shared" si="0"/>
        <v>1.5</v>
      </c>
      <c r="M37" s="715"/>
      <c r="N37" s="715">
        <f>M37*'Budynki niekomunalne_2024'!$C$32</f>
        <v>0</v>
      </c>
      <c r="O37" s="715">
        <f>L37*Wskaźniki!$C$7</f>
        <v>1.218</v>
      </c>
      <c r="P37" s="715">
        <f>M37*Wskaźniki!$C$12</f>
        <v>0</v>
      </c>
    </row>
    <row r="38" spans="2:16" ht="25.5">
      <c r="B38" s="704">
        <v>36</v>
      </c>
      <c r="C38" s="698" t="s">
        <v>667</v>
      </c>
      <c r="D38" s="699" t="s">
        <v>641</v>
      </c>
      <c r="E38" s="699" t="s">
        <v>710</v>
      </c>
      <c r="F38" s="700" t="s">
        <v>711</v>
      </c>
      <c r="G38" s="701">
        <v>12.5</v>
      </c>
      <c r="H38" s="702" t="s">
        <v>647</v>
      </c>
      <c r="I38" s="703">
        <v>0.11</v>
      </c>
      <c r="J38" s="703">
        <v>0</v>
      </c>
      <c r="K38" s="703">
        <v>0</v>
      </c>
      <c r="L38" s="703">
        <f t="shared" si="0"/>
        <v>0.11</v>
      </c>
      <c r="M38" s="715"/>
      <c r="N38" s="715">
        <f>M38*'Budynki niekomunalne_2024'!$C$32</f>
        <v>0</v>
      </c>
      <c r="O38" s="715">
        <f>L38*Wskaźniki!$C$7</f>
        <v>8.932000000000001E-2</v>
      </c>
      <c r="P38" s="715">
        <f>M38*Wskaźniki!$C$12</f>
        <v>0</v>
      </c>
    </row>
    <row r="39" spans="2:16" ht="25.5">
      <c r="B39" s="704">
        <v>37</v>
      </c>
      <c r="C39" s="698" t="s">
        <v>667</v>
      </c>
      <c r="D39" s="699" t="s">
        <v>641</v>
      </c>
      <c r="E39" s="699" t="s">
        <v>712</v>
      </c>
      <c r="F39" s="700" t="s">
        <v>713</v>
      </c>
      <c r="G39" s="701">
        <v>12.5</v>
      </c>
      <c r="H39" s="702" t="s">
        <v>647</v>
      </c>
      <c r="I39" s="703">
        <v>0.19</v>
      </c>
      <c r="J39" s="703">
        <v>0</v>
      </c>
      <c r="K39" s="703">
        <v>0</v>
      </c>
      <c r="L39" s="703">
        <f t="shared" si="0"/>
        <v>0.19</v>
      </c>
      <c r="M39" s="715"/>
      <c r="N39" s="715">
        <f>M39*'Budynki niekomunalne_2024'!$C$32</f>
        <v>0</v>
      </c>
      <c r="O39" s="715">
        <f>L39*Wskaźniki!$C$7</f>
        <v>0.15428</v>
      </c>
      <c r="P39" s="715">
        <f>M39*Wskaźniki!$C$12</f>
        <v>0</v>
      </c>
    </row>
    <row r="40" spans="2:16">
      <c r="B40" s="704">
        <v>38</v>
      </c>
      <c r="C40" s="698" t="s">
        <v>714</v>
      </c>
      <c r="D40" s="699" t="s">
        <v>641</v>
      </c>
      <c r="E40" s="699" t="s">
        <v>649</v>
      </c>
      <c r="F40" s="700"/>
      <c r="G40" s="701">
        <v>10.5</v>
      </c>
      <c r="H40" s="702" t="s">
        <v>650</v>
      </c>
      <c r="I40" s="703">
        <v>4</v>
      </c>
      <c r="J40" s="703">
        <v>8</v>
      </c>
      <c r="K40" s="703">
        <v>0</v>
      </c>
      <c r="L40" s="703">
        <f t="shared" si="0"/>
        <v>12</v>
      </c>
      <c r="M40" s="715"/>
      <c r="N40" s="715">
        <f>M40*'Budynki niekomunalne_2024'!$C$32</f>
        <v>0</v>
      </c>
      <c r="O40" s="715">
        <f>L40*Wskaźniki!$C$7</f>
        <v>9.7439999999999998</v>
      </c>
      <c r="P40" s="715">
        <f>M40*Wskaźniki!$C$12</f>
        <v>0</v>
      </c>
    </row>
    <row r="41" spans="2:16" ht="25.5">
      <c r="B41" s="704">
        <v>39</v>
      </c>
      <c r="C41" s="698" t="s">
        <v>715</v>
      </c>
      <c r="D41" s="699" t="s">
        <v>641</v>
      </c>
      <c r="E41" s="699" t="s">
        <v>716</v>
      </c>
      <c r="F41" s="700"/>
      <c r="G41" s="701" t="s">
        <v>717</v>
      </c>
      <c r="H41" s="702" t="s">
        <v>647</v>
      </c>
      <c r="I41" s="703">
        <v>0.5</v>
      </c>
      <c r="J41" s="703">
        <v>0</v>
      </c>
      <c r="K41" s="703">
        <v>0</v>
      </c>
      <c r="L41" s="703">
        <f t="shared" si="0"/>
        <v>0.5</v>
      </c>
      <c r="M41" s="715"/>
      <c r="N41" s="715">
        <f>M41*'Budynki niekomunalne_2024'!$C$32</f>
        <v>0</v>
      </c>
      <c r="O41" s="715">
        <f>L41*Wskaźniki!$C$7</f>
        <v>0.40600000000000003</v>
      </c>
      <c r="P41" s="715">
        <f>M41*Wskaźniki!$C$12</f>
        <v>0</v>
      </c>
    </row>
    <row r="42" spans="2:16" ht="38.25">
      <c r="B42" s="704">
        <v>40</v>
      </c>
      <c r="C42" s="718" t="s">
        <v>722</v>
      </c>
      <c r="D42" s="718" t="s">
        <v>638</v>
      </c>
      <c r="E42" s="718" t="s">
        <v>723</v>
      </c>
      <c r="F42" s="700"/>
      <c r="G42" s="702"/>
      <c r="H42" s="701"/>
      <c r="I42" s="703"/>
      <c r="J42" s="703"/>
      <c r="K42" s="703"/>
      <c r="L42" s="703">
        <v>53.29</v>
      </c>
      <c r="M42" s="715">
        <v>2269</v>
      </c>
      <c r="N42" s="715">
        <f>M42*'Budynki niekomunalne_2024'!$C$32</f>
        <v>628.51300000000003</v>
      </c>
      <c r="O42" s="715">
        <f>L42*Wskaźniki!$C$7</f>
        <v>43.271480000000004</v>
      </c>
      <c r="P42" s="715">
        <f>M42*Wskaźniki!$C$12</f>
        <v>126.65558</v>
      </c>
    </row>
    <row r="43" spans="2:16" ht="15">
      <c r="B43" s="704">
        <v>41</v>
      </c>
      <c r="C43" s="698" t="s">
        <v>724</v>
      </c>
      <c r="D43" s="718" t="s">
        <v>638</v>
      </c>
      <c r="E43" s="699" t="s">
        <v>725</v>
      </c>
      <c r="F43" s="700"/>
      <c r="G43" s="701"/>
      <c r="H43" s="702"/>
      <c r="I43" s="703"/>
      <c r="J43" s="703"/>
      <c r="K43" s="703"/>
      <c r="L43" s="703">
        <v>34.53</v>
      </c>
      <c r="M43" s="715">
        <v>140</v>
      </c>
      <c r="N43" s="715">
        <f>M43*'Budynki niekomunalne_2024'!$C$32</f>
        <v>38.78</v>
      </c>
      <c r="O43" s="715">
        <f>L43*Wskaźniki!$C$7</f>
        <v>28.038360000000004</v>
      </c>
      <c r="P43" s="715">
        <f>M43*Wskaźniki!$C$12</f>
        <v>7.8148</v>
      </c>
    </row>
    <row r="44" spans="2:16" ht="15">
      <c r="B44" s="704">
        <v>42</v>
      </c>
      <c r="C44" s="698" t="s">
        <v>726</v>
      </c>
      <c r="D44" s="718" t="s">
        <v>638</v>
      </c>
      <c r="E44" s="699" t="s">
        <v>727</v>
      </c>
      <c r="F44" s="700"/>
      <c r="G44" s="701"/>
      <c r="H44" s="702"/>
      <c r="I44" s="703"/>
      <c r="J44" s="703"/>
      <c r="K44" s="703"/>
      <c r="L44" s="703">
        <v>0.33</v>
      </c>
      <c r="M44" s="715">
        <v>125</v>
      </c>
      <c r="N44" s="715">
        <f>M44*'Budynki niekomunalne_2024'!$C$32</f>
        <v>34.625</v>
      </c>
      <c r="O44" s="715">
        <f>L44*Wskaźniki!$C$7</f>
        <v>0.26796000000000003</v>
      </c>
      <c r="P44" s="715">
        <f>M44*Wskaźniki!$C$12</f>
        <v>6.9775</v>
      </c>
    </row>
    <row r="45" spans="2:16" ht="15">
      <c r="B45" s="704">
        <v>43</v>
      </c>
      <c r="C45" s="698" t="s">
        <v>728</v>
      </c>
      <c r="D45" s="718" t="s">
        <v>638</v>
      </c>
      <c r="E45" s="699" t="s">
        <v>657</v>
      </c>
      <c r="F45" s="700"/>
      <c r="G45" s="701"/>
      <c r="H45" s="702"/>
      <c r="I45" s="703"/>
      <c r="J45" s="703"/>
      <c r="K45" s="703"/>
      <c r="L45" s="703">
        <v>3.26</v>
      </c>
      <c r="M45" s="715"/>
      <c r="N45" s="715">
        <f>M45*'Budynki niekomunalne_2024'!$C$32</f>
        <v>0</v>
      </c>
      <c r="O45" s="715">
        <f>L45*Wskaźniki!$C$7</f>
        <v>2.6471200000000001</v>
      </c>
      <c r="P45" s="715">
        <f>M45*Wskaźniki!$C$12</f>
        <v>0</v>
      </c>
    </row>
    <row r="46" spans="2:16" ht="38.25">
      <c r="B46" s="704">
        <v>44</v>
      </c>
      <c r="C46" s="698" t="s">
        <v>729</v>
      </c>
      <c r="D46" s="718" t="s">
        <v>638</v>
      </c>
      <c r="E46" s="699" t="s">
        <v>730</v>
      </c>
      <c r="F46" s="700"/>
      <c r="G46" s="701"/>
      <c r="H46" s="702"/>
      <c r="I46" s="703"/>
      <c r="J46" s="703"/>
      <c r="K46" s="703"/>
      <c r="L46" s="703">
        <v>7.8</v>
      </c>
      <c r="M46" s="715">
        <v>293</v>
      </c>
      <c r="N46" s="715">
        <f>M46*'Budynki niekomunalne_2024'!$C$32</f>
        <v>81.161000000000001</v>
      </c>
      <c r="O46" s="715">
        <f>L46*Wskaźniki!$C$7</f>
        <v>6.3336000000000006</v>
      </c>
      <c r="P46" s="715">
        <f>M46*Wskaźniki!$C$12</f>
        <v>16.355260000000001</v>
      </c>
    </row>
    <row r="47" spans="2:16" ht="15">
      <c r="B47" s="704">
        <v>45</v>
      </c>
      <c r="C47" s="718" t="s">
        <v>735</v>
      </c>
      <c r="D47" s="718" t="s">
        <v>638</v>
      </c>
      <c r="E47" s="718" t="s">
        <v>738</v>
      </c>
      <c r="F47" s="700"/>
      <c r="G47" s="701"/>
      <c r="H47" s="702"/>
      <c r="I47" s="703"/>
      <c r="J47" s="703"/>
      <c r="K47" s="703"/>
      <c r="L47" s="703">
        <v>758</v>
      </c>
      <c r="M47" s="715">
        <v>165</v>
      </c>
      <c r="N47" s="715">
        <f>M47*'Budynki niekomunalne_2024'!$C$32</f>
        <v>45.705000000000005</v>
      </c>
      <c r="O47" s="715">
        <f>L47*Wskaźniki!$C$7</f>
        <v>615.49600000000009</v>
      </c>
      <c r="P47" s="715">
        <f>M47*Wskaźniki!$C$12</f>
        <v>9.2103000000000002</v>
      </c>
    </row>
    <row r="48" spans="2:16" ht="15">
      <c r="B48" s="704">
        <v>46</v>
      </c>
      <c r="C48" s="718" t="s">
        <v>736</v>
      </c>
      <c r="D48" s="718" t="s">
        <v>638</v>
      </c>
      <c r="E48" s="718" t="s">
        <v>739</v>
      </c>
      <c r="F48" s="700"/>
      <c r="G48" s="701"/>
      <c r="H48" s="702"/>
      <c r="I48" s="703"/>
      <c r="J48" s="703"/>
      <c r="K48" s="703"/>
      <c r="L48" s="703"/>
      <c r="M48" s="715">
        <v>358</v>
      </c>
      <c r="N48" s="715">
        <f>M48*'Budynki niekomunalne_2024'!$C$32</f>
        <v>99.166000000000011</v>
      </c>
      <c r="O48" s="715">
        <f>L48*Wskaźniki!$C$7</f>
        <v>0</v>
      </c>
      <c r="P48" s="715">
        <f>M48*Wskaźniki!$C$12</f>
        <v>19.983560000000001</v>
      </c>
    </row>
    <row r="49" spans="2:16" ht="15">
      <c r="B49" s="704">
        <v>47</v>
      </c>
      <c r="C49" s="718" t="s">
        <v>733</v>
      </c>
      <c r="D49" s="718" t="s">
        <v>740</v>
      </c>
      <c r="E49" s="718" t="s">
        <v>740</v>
      </c>
      <c r="F49" s="700"/>
      <c r="G49" s="701"/>
      <c r="H49" s="702"/>
      <c r="I49" s="703"/>
      <c r="J49" s="703"/>
      <c r="K49" s="703"/>
      <c r="L49" s="703">
        <v>54.2</v>
      </c>
      <c r="M49" s="715">
        <v>169</v>
      </c>
      <c r="N49" s="715">
        <f>M49*'Budynki niekomunalne_2024'!$C$32</f>
        <v>46.813000000000002</v>
      </c>
      <c r="O49" s="715">
        <f>L49*Wskaźniki!$C$7</f>
        <v>44.010400000000004</v>
      </c>
      <c r="P49" s="715">
        <f>M49*Wskaźniki!$C$12</f>
        <v>9.433580000000001</v>
      </c>
    </row>
    <row r="50" spans="2:16" ht="15">
      <c r="B50" s="704">
        <v>48</v>
      </c>
      <c r="C50" s="718" t="s">
        <v>737</v>
      </c>
      <c r="D50" s="718" t="s">
        <v>638</v>
      </c>
      <c r="E50" s="718" t="s">
        <v>702</v>
      </c>
      <c r="F50" s="700"/>
      <c r="G50" s="701"/>
      <c r="H50" s="702"/>
      <c r="I50" s="703"/>
      <c r="J50" s="703"/>
      <c r="K50" s="703"/>
      <c r="L50" s="703">
        <v>164</v>
      </c>
      <c r="M50" s="715">
        <v>43</v>
      </c>
      <c r="N50" s="715">
        <f>M50*'Budynki niekomunalne_2024'!$C$32</f>
        <v>11.911000000000001</v>
      </c>
      <c r="O50" s="715">
        <f>L50*Wskaźniki!$C$7</f>
        <v>133.16800000000001</v>
      </c>
      <c r="P50" s="715">
        <f>M50*Wskaźniki!$C$12</f>
        <v>2.4002600000000003</v>
      </c>
    </row>
    <row r="51" spans="2:16" ht="38.25">
      <c r="B51" s="704">
        <v>49</v>
      </c>
      <c r="C51" s="698" t="s">
        <v>753</v>
      </c>
      <c r="D51" s="718" t="s">
        <v>638</v>
      </c>
      <c r="E51" s="699" t="s">
        <v>755</v>
      </c>
      <c r="F51" s="700" t="s">
        <v>754</v>
      </c>
      <c r="G51" s="701">
        <v>40</v>
      </c>
      <c r="H51" s="702" t="s">
        <v>650</v>
      </c>
      <c r="I51" s="703"/>
      <c r="J51" s="703"/>
      <c r="K51" s="703"/>
      <c r="L51" s="703">
        <v>31.795000000000002</v>
      </c>
      <c r="M51" s="715">
        <v>752.41</v>
      </c>
      <c r="N51" s="715">
        <f>M51*'Budynki niekomunalne_2024'!$C$32</f>
        <v>208.41757000000001</v>
      </c>
      <c r="O51" s="715">
        <f>L51*Wskaźniki!$C$7</f>
        <v>25.817540000000005</v>
      </c>
      <c r="P51" s="715">
        <f>M51*Wskaźniki!$C$12</f>
        <v>41.999526199999998</v>
      </c>
    </row>
    <row r="52" spans="2:16" ht="15">
      <c r="B52" s="704">
        <v>50</v>
      </c>
      <c r="C52" s="718"/>
      <c r="D52" s="718"/>
      <c r="E52" s="699"/>
      <c r="F52" s="700"/>
      <c r="G52" s="701"/>
      <c r="H52" s="702"/>
      <c r="I52" s="703"/>
      <c r="J52" s="703"/>
      <c r="K52" s="703"/>
      <c r="L52" s="703">
        <f t="shared" si="0"/>
        <v>0</v>
      </c>
      <c r="M52" s="715"/>
      <c r="N52" s="715">
        <f>M52*'Budynki niekomunalne_2024'!$C$32</f>
        <v>0</v>
      </c>
      <c r="O52" s="715">
        <f>L52*Wskaźniki!$C$7</f>
        <v>0</v>
      </c>
      <c r="P52" s="715">
        <f>M52*Wskaźniki!$C$12</f>
        <v>0</v>
      </c>
    </row>
    <row r="53" spans="2:16">
      <c r="B53" s="705"/>
      <c r="C53" s="706"/>
      <c r="D53" s="706"/>
      <c r="E53" s="706"/>
      <c r="F53" s="706"/>
      <c r="G53" s="707">
        <f>SUM(G3:G52)</f>
        <v>1042</v>
      </c>
      <c r="H53" s="706"/>
      <c r="I53" s="708">
        <f t="shared" ref="I53:P53" si="1">SUM(I3:I52)</f>
        <v>678.65000000000009</v>
      </c>
      <c r="J53" s="708">
        <f t="shared" si="1"/>
        <v>136.91</v>
      </c>
      <c r="K53" s="708">
        <f t="shared" si="1"/>
        <v>0</v>
      </c>
      <c r="L53" s="708">
        <f t="shared" si="1"/>
        <v>1922.7650000000001</v>
      </c>
      <c r="M53" s="716">
        <f t="shared" si="1"/>
        <v>7610.53</v>
      </c>
      <c r="N53" s="716">
        <f t="shared" si="1"/>
        <v>2108.1168100000004</v>
      </c>
      <c r="O53" s="716">
        <f t="shared" si="1"/>
        <v>1561.2851800000008</v>
      </c>
      <c r="P53" s="716">
        <f t="shared" si="1"/>
        <v>424.81978459999999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I14"/>
  <sheetViews>
    <sheetView showGridLines="0" view="pageBreakPreview" zoomScale="90" zoomScaleSheetLayoutView="90" workbookViewId="0">
      <selection activeCell="B13" sqref="B13"/>
    </sheetView>
  </sheetViews>
  <sheetFormatPr defaultRowHeight="15"/>
  <cols>
    <col min="1" max="1" width="5.125" style="6" customWidth="1"/>
    <col min="2" max="5" width="17.5" style="6" customWidth="1"/>
    <col min="6" max="6" width="6.125" style="6" customWidth="1"/>
    <col min="7" max="16384" width="9" style="6"/>
  </cols>
  <sheetData>
    <row r="1" spans="2:9" ht="15.75" thickBot="1">
      <c r="B1" s="165"/>
      <c r="C1" s="165"/>
      <c r="D1" s="165"/>
      <c r="E1" s="165"/>
      <c r="F1" s="165"/>
      <c r="G1" s="165"/>
      <c r="H1" s="165"/>
      <c r="I1" s="165"/>
    </row>
    <row r="2" spans="2:9" ht="15.75" thickBot="1">
      <c r="B2" s="1148" t="s">
        <v>390</v>
      </c>
      <c r="C2" s="1149"/>
      <c r="D2" s="1149"/>
      <c r="E2" s="1149"/>
      <c r="F2" s="1149"/>
      <c r="G2" s="1149"/>
      <c r="H2" s="1149"/>
      <c r="I2" s="1150"/>
    </row>
    <row r="3" spans="2:9" ht="15.75" thickBot="1">
      <c r="B3" s="1144"/>
      <c r="C3" s="1144"/>
      <c r="D3" s="1144"/>
      <c r="E3" s="1144"/>
      <c r="F3" s="1144"/>
      <c r="G3" s="1144"/>
      <c r="H3" s="1144"/>
      <c r="I3" s="192"/>
    </row>
    <row r="4" spans="2:9" ht="15.75" thickBot="1">
      <c r="B4" s="1145" t="s">
        <v>743</v>
      </c>
      <c r="C4" s="1146"/>
      <c r="D4" s="1147"/>
      <c r="E4" s="182"/>
      <c r="F4" s="182"/>
      <c r="G4" s="1080" t="s">
        <v>211</v>
      </c>
      <c r="H4" s="1081"/>
      <c r="I4" s="1082"/>
    </row>
    <row r="5" spans="2:9" ht="27.75" thickBot="1">
      <c r="B5" s="197" t="s">
        <v>52</v>
      </c>
      <c r="C5" s="198" t="s">
        <v>321</v>
      </c>
      <c r="D5" s="199" t="s">
        <v>323</v>
      </c>
      <c r="E5" s="200" t="s">
        <v>325</v>
      </c>
      <c r="F5" s="165"/>
      <c r="G5" s="201" t="s">
        <v>212</v>
      </c>
      <c r="H5" s="196">
        <v>3.6</v>
      </c>
      <c r="I5" s="181" t="s">
        <v>207</v>
      </c>
    </row>
    <row r="6" spans="2:9" ht="15.75" thickBot="1">
      <c r="B6" s="183">
        <v>703.11</v>
      </c>
      <c r="C6" s="184">
        <f>B6*H5</f>
        <v>2531.1959999999999</v>
      </c>
      <c r="D6" s="185">
        <f>Wskaźniki!C7</f>
        <v>0.81200000000000006</v>
      </c>
      <c r="E6" s="186">
        <f>B6*D6</f>
        <v>570.92532000000006</v>
      </c>
      <c r="F6" s="165"/>
      <c r="G6" s="202" t="s">
        <v>213</v>
      </c>
      <c r="H6" s="193">
        <v>0.27700000000000002</v>
      </c>
      <c r="I6" s="194" t="s">
        <v>214</v>
      </c>
    </row>
    <row r="7" spans="2:9" ht="15.75" thickBot="1">
      <c r="B7" s="203">
        <f>SUM(B6)</f>
        <v>703.11</v>
      </c>
      <c r="C7" s="204">
        <f>SUM(C6)</f>
        <v>2531.1959999999999</v>
      </c>
      <c r="D7" s="195"/>
      <c r="E7" s="203">
        <f>SUM(E6)</f>
        <v>570.92532000000006</v>
      </c>
      <c r="F7" s="165"/>
      <c r="G7" s="165"/>
      <c r="H7" s="165"/>
      <c r="I7" s="165"/>
    </row>
    <row r="8" spans="2:9">
      <c r="B8" s="187"/>
      <c r="C8" s="187"/>
      <c r="D8" s="195"/>
      <c r="E8" s="195"/>
      <c r="F8" s="195"/>
      <c r="G8" s="195"/>
      <c r="H8" s="195"/>
      <c r="I8" s="165"/>
    </row>
    <row r="9" spans="2:9">
      <c r="B9" s="195"/>
      <c r="C9" s="195"/>
      <c r="D9" s="195"/>
      <c r="E9" s="195"/>
      <c r="F9" s="195"/>
      <c r="G9" s="195"/>
      <c r="H9" s="195"/>
      <c r="I9" s="165"/>
    </row>
    <row r="10" spans="2:9" ht="15.75" thickBot="1">
      <c r="B10" s="165"/>
      <c r="C10" s="165"/>
      <c r="D10" s="165"/>
      <c r="E10" s="165"/>
      <c r="F10" s="165"/>
      <c r="G10" s="165"/>
      <c r="H10" s="165"/>
      <c r="I10" s="165"/>
    </row>
    <row r="11" spans="2:9" ht="15.75" thickBot="1">
      <c r="B11" s="1141" t="s">
        <v>742</v>
      </c>
      <c r="C11" s="1142"/>
      <c r="D11" s="1143"/>
      <c r="E11" s="182"/>
      <c r="F11" s="182"/>
      <c r="G11" s="182"/>
      <c r="H11" s="182"/>
      <c r="I11" s="165"/>
    </row>
    <row r="12" spans="2:9" ht="27.75" thickBot="1">
      <c r="B12" s="197" t="s">
        <v>52</v>
      </c>
      <c r="C12" s="198" t="s">
        <v>321</v>
      </c>
      <c r="D12" s="199" t="s">
        <v>324</v>
      </c>
      <c r="E12" s="200" t="s">
        <v>325</v>
      </c>
      <c r="F12" s="165"/>
      <c r="G12" s="165"/>
      <c r="H12" s="165"/>
      <c r="I12" s="165"/>
    </row>
    <row r="13" spans="2:9" ht="15.75" thickBot="1">
      <c r="B13" s="188">
        <f>B6+(B6*Charakterystyka_2028!R67)</f>
        <v>710.54611870520614</v>
      </c>
      <c r="C13" s="189">
        <f>B13*H5</f>
        <v>2557.9660273387422</v>
      </c>
      <c r="D13" s="190">
        <v>0.81200000000000006</v>
      </c>
      <c r="E13" s="191">
        <f>B13*D13</f>
        <v>576.9634483886274</v>
      </c>
      <c r="F13" s="165"/>
      <c r="G13" s="165"/>
      <c r="H13" s="165"/>
      <c r="I13" s="165"/>
    </row>
    <row r="14" spans="2:9" ht="15.75" thickBot="1">
      <c r="B14" s="203">
        <f>SUM(B13)</f>
        <v>710.54611870520614</v>
      </c>
      <c r="C14" s="203">
        <f>SUM(C13)</f>
        <v>2557.9660273387422</v>
      </c>
      <c r="D14" s="195"/>
      <c r="E14" s="205">
        <f>SUM(E13)</f>
        <v>576.9634483886274</v>
      </c>
      <c r="F14" s="165"/>
      <c r="G14" s="165"/>
      <c r="H14" s="165"/>
      <c r="I14" s="165"/>
    </row>
  </sheetData>
  <mergeCells count="5">
    <mergeCell ref="B2:I2"/>
    <mergeCell ref="B3:H3"/>
    <mergeCell ref="B4:D4"/>
    <mergeCell ref="G4:I4"/>
    <mergeCell ref="B11:D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2:P34"/>
  <sheetViews>
    <sheetView showGridLines="0" view="pageBreakPreview" topLeftCell="A13" zoomScale="85" zoomScaleNormal="70" zoomScaleSheetLayoutView="85" workbookViewId="0">
      <selection activeCell="I16" sqref="I16"/>
    </sheetView>
  </sheetViews>
  <sheetFormatPr defaultColWidth="10.875" defaultRowHeight="15"/>
  <cols>
    <col min="1" max="1" width="3.875" style="113" customWidth="1"/>
    <col min="2" max="16384" width="10.875" style="113"/>
  </cols>
  <sheetData>
    <row r="2" spans="2:16" ht="38.25">
      <c r="B2" s="219">
        <v>2014</v>
      </c>
      <c r="C2" s="219" t="s">
        <v>329</v>
      </c>
      <c r="D2" s="219" t="s">
        <v>330</v>
      </c>
      <c r="E2" s="219" t="s">
        <v>331</v>
      </c>
      <c r="F2" s="219" t="s">
        <v>332</v>
      </c>
      <c r="G2" s="219" t="s">
        <v>333</v>
      </c>
      <c r="H2" s="219" t="s">
        <v>334</v>
      </c>
      <c r="I2" s="219" t="s">
        <v>335</v>
      </c>
      <c r="J2" s="219" t="s">
        <v>13</v>
      </c>
      <c r="K2" s="219" t="s">
        <v>336</v>
      </c>
      <c r="L2" s="219" t="s">
        <v>337</v>
      </c>
      <c r="M2" s="219" t="s">
        <v>317</v>
      </c>
      <c r="N2" s="165"/>
    </row>
    <row r="3" spans="2:16">
      <c r="B3" s="1154" t="s">
        <v>17</v>
      </c>
      <c r="C3" s="1161">
        <v>322</v>
      </c>
      <c r="D3" s="210">
        <v>322</v>
      </c>
      <c r="E3" s="209" t="s">
        <v>19</v>
      </c>
      <c r="F3" s="209">
        <v>0.72</v>
      </c>
      <c r="G3" s="209">
        <v>5000</v>
      </c>
      <c r="H3" s="209">
        <v>0.04</v>
      </c>
      <c r="I3" s="209">
        <v>4.478E-2</v>
      </c>
      <c r="J3" s="209">
        <f>Wskaźniki!$C$18</f>
        <v>6.8610000000000004E-2</v>
      </c>
      <c r="K3" s="208">
        <f t="shared" ref="K3:K8" si="0">D3*F3*G3*H3*I3</f>
        <v>2076.3590399999998</v>
      </c>
      <c r="L3" s="208">
        <f t="shared" ref="L3:L8" si="1">K3*$C$13</f>
        <v>575.15145408000001</v>
      </c>
      <c r="M3" s="208">
        <f t="shared" ref="M3:M8" si="2">K3*J3</f>
        <v>142.4589937344</v>
      </c>
      <c r="N3" s="165"/>
    </row>
    <row r="4" spans="2:16">
      <c r="B4" s="1154"/>
      <c r="C4" s="1159"/>
      <c r="D4" s="210">
        <v>0</v>
      </c>
      <c r="E4" s="209" t="s">
        <v>339</v>
      </c>
      <c r="F4" s="209">
        <v>0.82</v>
      </c>
      <c r="G4" s="209">
        <v>5000</v>
      </c>
      <c r="H4" s="209">
        <v>0.04</v>
      </c>
      <c r="I4" s="209">
        <v>4.333E-2</v>
      </c>
      <c r="J4" s="209">
        <f>Wskaźniki!$C$21</f>
        <v>7.3330000000000006E-2</v>
      </c>
      <c r="K4" s="208">
        <f t="shared" si="0"/>
        <v>0</v>
      </c>
      <c r="L4" s="208">
        <f t="shared" si="1"/>
        <v>0</v>
      </c>
      <c r="M4" s="208">
        <f t="shared" si="2"/>
        <v>0</v>
      </c>
      <c r="N4" s="165"/>
    </row>
    <row r="5" spans="2:16">
      <c r="B5" s="1154"/>
      <c r="C5" s="1160"/>
      <c r="D5" s="210">
        <v>0</v>
      </c>
      <c r="E5" s="209" t="s">
        <v>341</v>
      </c>
      <c r="F5" s="209">
        <v>0.56200000000000006</v>
      </c>
      <c r="G5" s="209">
        <v>5000</v>
      </c>
      <c r="H5" s="209">
        <v>0</v>
      </c>
      <c r="I5" s="209">
        <v>4.7309999999999998E-2</v>
      </c>
      <c r="J5" s="209">
        <f>Wskaźniki!$C$15</f>
        <v>6.2440000000000002E-2</v>
      </c>
      <c r="K5" s="208">
        <f t="shared" si="0"/>
        <v>0</v>
      </c>
      <c r="L5" s="208">
        <f t="shared" si="1"/>
        <v>0</v>
      </c>
      <c r="M5" s="208">
        <f t="shared" si="2"/>
        <v>0</v>
      </c>
      <c r="N5" s="165"/>
    </row>
    <row r="6" spans="2:16">
      <c r="B6" s="1154" t="s">
        <v>343</v>
      </c>
      <c r="C6" s="1161">
        <v>5317</v>
      </c>
      <c r="D6" s="210">
        <v>1542</v>
      </c>
      <c r="E6" s="209" t="s">
        <v>19</v>
      </c>
      <c r="F6" s="209">
        <v>0.72</v>
      </c>
      <c r="G6" s="209">
        <v>5876</v>
      </c>
      <c r="H6" s="209">
        <v>0.08</v>
      </c>
      <c r="I6" s="209">
        <v>4.478E-2</v>
      </c>
      <c r="J6" s="209">
        <f>Wskaźniki!$C$18</f>
        <v>6.8610000000000004E-2</v>
      </c>
      <c r="K6" s="208">
        <f t="shared" si="0"/>
        <v>23370.754507776001</v>
      </c>
      <c r="L6" s="208">
        <f t="shared" si="1"/>
        <v>6473.6989986539529</v>
      </c>
      <c r="M6" s="208">
        <f t="shared" si="2"/>
        <v>1603.4674667785116</v>
      </c>
      <c r="N6" s="165"/>
    </row>
    <row r="7" spans="2:16">
      <c r="B7" s="1154"/>
      <c r="C7" s="1159"/>
      <c r="D7" s="210">
        <v>3722</v>
      </c>
      <c r="E7" s="209" t="s">
        <v>339</v>
      </c>
      <c r="F7" s="209">
        <v>0.82</v>
      </c>
      <c r="G7" s="209">
        <v>12016</v>
      </c>
      <c r="H7" s="209">
        <v>7.0999999999999994E-2</v>
      </c>
      <c r="I7" s="209">
        <v>4.333E-2</v>
      </c>
      <c r="J7" s="209">
        <f>Wskaźniki!$C$21</f>
        <v>7.3330000000000006E-2</v>
      </c>
      <c r="K7" s="208">
        <f t="shared" si="0"/>
        <v>112822.87920507519</v>
      </c>
      <c r="L7" s="208">
        <f t="shared" si="1"/>
        <v>31251.937539805833</v>
      </c>
      <c r="M7" s="208">
        <f t="shared" si="2"/>
        <v>8273.3017321081643</v>
      </c>
      <c r="N7" s="165"/>
      <c r="O7" s="165"/>
      <c r="P7" s="165"/>
    </row>
    <row r="8" spans="2:16">
      <c r="B8" s="1154"/>
      <c r="C8" s="1160"/>
      <c r="D8" s="210">
        <v>53</v>
      </c>
      <c r="E8" s="209" t="s">
        <v>341</v>
      </c>
      <c r="F8" s="209">
        <v>0.56200000000000006</v>
      </c>
      <c r="G8" s="209">
        <v>10093</v>
      </c>
      <c r="H8" s="209">
        <v>0.10199999999999999</v>
      </c>
      <c r="I8" s="209">
        <v>4.7309999999999998E-2</v>
      </c>
      <c r="J8" s="209">
        <f>Wskaźniki!$C$15</f>
        <v>6.2440000000000002E-2</v>
      </c>
      <c r="K8" s="208">
        <f t="shared" si="0"/>
        <v>1450.72661351076</v>
      </c>
      <c r="L8" s="208">
        <f t="shared" si="1"/>
        <v>401.85127194248054</v>
      </c>
      <c r="M8" s="208">
        <f t="shared" si="2"/>
        <v>90.583369747611854</v>
      </c>
      <c r="N8" s="165"/>
      <c r="O8" s="165"/>
      <c r="P8" s="165"/>
    </row>
    <row r="9" spans="2:16">
      <c r="B9" s="1154" t="s">
        <v>3</v>
      </c>
      <c r="C9" s="1154"/>
      <c r="D9" s="1154"/>
      <c r="E9" s="1154"/>
      <c r="F9" s="1154"/>
      <c r="G9" s="1154"/>
      <c r="H9" s="1154"/>
      <c r="I9" s="1154"/>
      <c r="J9" s="1154"/>
      <c r="K9" s="220">
        <f>SUM(K3:K8)</f>
        <v>139720.71936636194</v>
      </c>
      <c r="L9" s="220">
        <f>SUM(L3:L8)</f>
        <v>38702.63926448227</v>
      </c>
      <c r="M9" s="220">
        <f>SUM(M3:M8)</f>
        <v>10109.811562368688</v>
      </c>
      <c r="N9" s="165"/>
      <c r="O9" s="165"/>
      <c r="P9" s="165"/>
    </row>
    <row r="10" spans="2:16">
      <c r="B10" s="165"/>
      <c r="C10" s="165"/>
      <c r="D10" s="212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1" spans="2:16">
      <c r="B11" s="1155" t="s">
        <v>211</v>
      </c>
      <c r="C11" s="1155"/>
      <c r="D11" s="1155"/>
      <c r="E11" s="211"/>
      <c r="F11" s="216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2:16">
      <c r="B12" s="213" t="s">
        <v>212</v>
      </c>
      <c r="C12" s="214">
        <v>3.6</v>
      </c>
      <c r="D12" s="214" t="s">
        <v>207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2:16">
      <c r="B13" s="215" t="s">
        <v>213</v>
      </c>
      <c r="C13" s="214">
        <v>0.27700000000000002</v>
      </c>
      <c r="D13" s="214" t="s">
        <v>214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</row>
    <row r="15" spans="2:16" ht="25.5">
      <c r="B15" s="1154" t="s">
        <v>344</v>
      </c>
      <c r="C15" s="219" t="s">
        <v>329</v>
      </c>
      <c r="D15" s="219">
        <v>2014</v>
      </c>
      <c r="E15" s="219" t="s">
        <v>336</v>
      </c>
      <c r="F15" s="219" t="s">
        <v>337</v>
      </c>
      <c r="G15" s="219" t="s">
        <v>317</v>
      </c>
      <c r="H15" s="165"/>
      <c r="I15" s="165"/>
      <c r="J15" s="165"/>
      <c r="K15" s="165"/>
      <c r="L15" s="165"/>
      <c r="M15" s="165"/>
      <c r="N15" s="165"/>
    </row>
    <row r="16" spans="2:16">
      <c r="B16" s="1154"/>
      <c r="C16" s="1161">
        <f>C3+C6</f>
        <v>5639</v>
      </c>
      <c r="D16" s="209" t="s">
        <v>19</v>
      </c>
      <c r="E16" s="208">
        <f t="shared" ref="E16:G18" si="3">K3+K6</f>
        <v>25447.113547776</v>
      </c>
      <c r="F16" s="208">
        <f t="shared" si="3"/>
        <v>7048.8504527339528</v>
      </c>
      <c r="G16" s="208">
        <f t="shared" si="3"/>
        <v>1745.9264605129115</v>
      </c>
      <c r="H16" s="165"/>
      <c r="I16" s="165"/>
      <c r="J16" s="165"/>
      <c r="K16" s="165"/>
      <c r="L16" s="165"/>
      <c r="M16" s="165"/>
      <c r="N16" s="165"/>
    </row>
    <row r="17" spans="2:13">
      <c r="B17" s="1154"/>
      <c r="C17" s="1159"/>
      <c r="D17" s="209" t="s">
        <v>339</v>
      </c>
      <c r="E17" s="208">
        <f t="shared" si="3"/>
        <v>112822.87920507519</v>
      </c>
      <c r="F17" s="208">
        <f t="shared" si="3"/>
        <v>31251.937539805833</v>
      </c>
      <c r="G17" s="208">
        <f t="shared" si="3"/>
        <v>8273.3017321081643</v>
      </c>
      <c r="H17" s="165"/>
      <c r="I17" s="165"/>
      <c r="J17" s="165"/>
      <c r="K17" s="165"/>
    </row>
    <row r="18" spans="2:13">
      <c r="B18" s="1154"/>
      <c r="C18" s="1160"/>
      <c r="D18" s="209" t="s">
        <v>341</v>
      </c>
      <c r="E18" s="208">
        <f t="shared" si="3"/>
        <v>1450.72661351076</v>
      </c>
      <c r="F18" s="208">
        <f t="shared" si="3"/>
        <v>401.85127194248054</v>
      </c>
      <c r="G18" s="208">
        <f t="shared" si="3"/>
        <v>90.583369747611854</v>
      </c>
      <c r="H18" s="165"/>
      <c r="I18" s="165"/>
      <c r="J18" s="165"/>
      <c r="K18" s="165"/>
    </row>
    <row r="19" spans="2:13">
      <c r="B19" s="1162" t="s">
        <v>3</v>
      </c>
      <c r="C19" s="1163"/>
      <c r="D19" s="1164"/>
      <c r="E19" s="220">
        <f>SUM(E16:E18)</f>
        <v>139720.71936636194</v>
      </c>
      <c r="F19" s="220">
        <f>SUM(F16:F18)</f>
        <v>38702.63926448227</v>
      </c>
      <c r="G19" s="220">
        <f>SUM(G16:G18)</f>
        <v>10109.811562368688</v>
      </c>
      <c r="H19" s="165"/>
      <c r="I19" s="165"/>
      <c r="J19" s="165"/>
      <c r="K19" s="165"/>
    </row>
    <row r="21" spans="2:13" ht="38.25">
      <c r="B21" s="219">
        <v>2020</v>
      </c>
      <c r="C21" s="219" t="s">
        <v>329</v>
      </c>
      <c r="D21" s="219" t="s">
        <v>330</v>
      </c>
      <c r="E21" s="219" t="s">
        <v>331</v>
      </c>
      <c r="F21" s="219" t="s">
        <v>332</v>
      </c>
      <c r="G21" s="219" t="s">
        <v>333</v>
      </c>
      <c r="H21" s="219" t="s">
        <v>334</v>
      </c>
      <c r="I21" s="219" t="s">
        <v>335</v>
      </c>
      <c r="J21" s="219" t="s">
        <v>13</v>
      </c>
      <c r="K21" s="219" t="s">
        <v>336</v>
      </c>
      <c r="L21" s="219" t="s">
        <v>337</v>
      </c>
      <c r="M21" s="219" t="s">
        <v>317</v>
      </c>
    </row>
    <row r="22" spans="2:13">
      <c r="B22" s="1165" t="s">
        <v>17</v>
      </c>
      <c r="C22" s="1156">
        <f>C3/Charakterystyka_2020!$L$9*Charakterystyka_2020!$AI$9</f>
        <v>318.21494542401342</v>
      </c>
      <c r="D22" s="210">
        <v>319</v>
      </c>
      <c r="E22" s="209" t="s">
        <v>19</v>
      </c>
      <c r="F22" s="209">
        <v>0.72</v>
      </c>
      <c r="G22" s="209">
        <v>5000</v>
      </c>
      <c r="H22" s="209">
        <v>0.04</v>
      </c>
      <c r="I22" s="209">
        <v>4.478E-2</v>
      </c>
      <c r="J22" s="209">
        <f>Wskaźniki!$C$18</f>
        <v>6.8610000000000004E-2</v>
      </c>
      <c r="K22" s="208">
        <f t="shared" ref="K22:K27" si="4">D22*F22*G22*H22*I22</f>
        <v>2057.0140799999999</v>
      </c>
      <c r="L22" s="208">
        <f t="shared" ref="L22:L27" si="5">K22*$C$13</f>
        <v>569.79290016000004</v>
      </c>
      <c r="M22" s="208">
        <f t="shared" ref="M22:M27" si="6">K22*J22</f>
        <v>141.13173602879999</v>
      </c>
    </row>
    <row r="23" spans="2:13">
      <c r="B23" s="1166"/>
      <c r="C23" s="1157"/>
      <c r="D23" s="210">
        <v>0</v>
      </c>
      <c r="E23" s="209" t="s">
        <v>339</v>
      </c>
      <c r="F23" s="209">
        <v>0.82</v>
      </c>
      <c r="G23" s="209">
        <v>5000</v>
      </c>
      <c r="H23" s="209">
        <v>0.04</v>
      </c>
      <c r="I23" s="209">
        <v>4.333E-2</v>
      </c>
      <c r="J23" s="209">
        <f>Wskaźniki!$C$21</f>
        <v>7.3330000000000006E-2</v>
      </c>
      <c r="K23" s="208">
        <f t="shared" si="4"/>
        <v>0</v>
      </c>
      <c r="L23" s="208">
        <f t="shared" si="5"/>
        <v>0</v>
      </c>
      <c r="M23" s="208">
        <f t="shared" si="6"/>
        <v>0</v>
      </c>
    </row>
    <row r="24" spans="2:13">
      <c r="B24" s="1167"/>
      <c r="C24" s="1158"/>
      <c r="D24" s="210">
        <v>0</v>
      </c>
      <c r="E24" s="209" t="s">
        <v>341</v>
      </c>
      <c r="F24" s="209">
        <v>0.56200000000000006</v>
      </c>
      <c r="G24" s="209">
        <v>5000</v>
      </c>
      <c r="H24" s="209">
        <v>0</v>
      </c>
      <c r="I24" s="209">
        <v>4.7309999999999998E-2</v>
      </c>
      <c r="J24" s="209">
        <f>Wskaźniki!$C$15</f>
        <v>6.2440000000000002E-2</v>
      </c>
      <c r="K24" s="208">
        <f t="shared" si="4"/>
        <v>0</v>
      </c>
      <c r="L24" s="208">
        <f t="shared" si="5"/>
        <v>0</v>
      </c>
      <c r="M24" s="208">
        <f t="shared" si="6"/>
        <v>0</v>
      </c>
    </row>
    <row r="25" spans="2:13">
      <c r="B25" s="1165" t="s">
        <v>343</v>
      </c>
      <c r="C25" s="1156">
        <f>D25+D26+D27</f>
        <v>5254.499580184719</v>
      </c>
      <c r="D25" s="210">
        <f>D6/Charakterystyka_2020!$L$9*Charakterystyka_2020!$AI$9</f>
        <v>1523.874055415617</v>
      </c>
      <c r="E25" s="209" t="s">
        <v>19</v>
      </c>
      <c r="F25" s="209">
        <v>0.72</v>
      </c>
      <c r="G25" s="209">
        <v>5876</v>
      </c>
      <c r="H25" s="209">
        <v>0.08</v>
      </c>
      <c r="I25" s="209">
        <v>4.478E-2</v>
      </c>
      <c r="J25" s="209">
        <f>Wskaźniki!$C$18</f>
        <v>6.8610000000000004E-2</v>
      </c>
      <c r="K25" s="208">
        <f t="shared" si="4"/>
        <v>23096.035311211042</v>
      </c>
      <c r="L25" s="208">
        <f t="shared" si="5"/>
        <v>6397.6017812054597</v>
      </c>
      <c r="M25" s="208">
        <f t="shared" si="6"/>
        <v>1584.6189827021897</v>
      </c>
    </row>
    <row r="26" spans="2:13">
      <c r="B26" s="1166"/>
      <c r="C26" s="1157"/>
      <c r="D26" s="210">
        <f>D7/Charakterystyka_2020!$L$9*Charakterystyka_2020!$AI$9</f>
        <v>3678.2485306465155</v>
      </c>
      <c r="E26" s="209" t="s">
        <v>339</v>
      </c>
      <c r="F26" s="209">
        <v>0.82</v>
      </c>
      <c r="G26" s="209">
        <v>12016</v>
      </c>
      <c r="H26" s="209">
        <v>7.0999999999999994E-2</v>
      </c>
      <c r="I26" s="209">
        <v>4.333E-2</v>
      </c>
      <c r="J26" s="209">
        <f>Wskaźniki!$C$21</f>
        <v>7.3330000000000006E-2</v>
      </c>
      <c r="K26" s="208">
        <f t="shared" si="4"/>
        <v>111496.66567957473</v>
      </c>
      <c r="L26" s="208">
        <f t="shared" si="5"/>
        <v>30884.576393242201</v>
      </c>
      <c r="M26" s="208">
        <f t="shared" si="6"/>
        <v>8176.0504942832149</v>
      </c>
    </row>
    <row r="27" spans="2:13">
      <c r="B27" s="1167"/>
      <c r="C27" s="1158"/>
      <c r="D27" s="210">
        <f>D8/Charakterystyka_2020!$L$9*Charakterystyka_2020!$AI$9</f>
        <v>52.376994122586062</v>
      </c>
      <c r="E27" s="209" t="s">
        <v>341</v>
      </c>
      <c r="F27" s="209">
        <v>0.56200000000000006</v>
      </c>
      <c r="G27" s="209">
        <v>10093</v>
      </c>
      <c r="H27" s="209">
        <v>0.10199999999999999</v>
      </c>
      <c r="I27" s="209">
        <v>4.7309999999999998E-2</v>
      </c>
      <c r="J27" s="209">
        <f>Wskaźniki!$C$15</f>
        <v>6.2440000000000002E-2</v>
      </c>
      <c r="K27" s="208">
        <f t="shared" si="4"/>
        <v>1433.6735718741936</v>
      </c>
      <c r="L27" s="208">
        <f t="shared" si="5"/>
        <v>397.12757940915168</v>
      </c>
      <c r="M27" s="208">
        <f t="shared" si="6"/>
        <v>89.518577827824657</v>
      </c>
    </row>
    <row r="28" spans="2:13">
      <c r="B28" s="1162" t="s">
        <v>3</v>
      </c>
      <c r="C28" s="1163"/>
      <c r="D28" s="1163"/>
      <c r="E28" s="1163"/>
      <c r="F28" s="1163"/>
      <c r="G28" s="1163"/>
      <c r="H28" s="1163"/>
      <c r="I28" s="1163"/>
      <c r="J28" s="1164"/>
      <c r="K28" s="220">
        <f>SUM(K22:K27)</f>
        <v>138083.38864265996</v>
      </c>
      <c r="L28" s="220">
        <f>SUM(L22:L27)</f>
        <v>38249.098654016809</v>
      </c>
      <c r="M28" s="220">
        <f>SUM(M22:M27)</f>
        <v>9991.3197908420298</v>
      </c>
    </row>
    <row r="30" spans="2:13" ht="25.5">
      <c r="B30" s="1154" t="s">
        <v>344</v>
      </c>
      <c r="C30" s="219" t="s">
        <v>329</v>
      </c>
      <c r="D30" s="219">
        <v>2020</v>
      </c>
      <c r="E30" s="219" t="s">
        <v>336</v>
      </c>
      <c r="F30" s="219" t="s">
        <v>337</v>
      </c>
      <c r="G30" s="219" t="s">
        <v>317</v>
      </c>
      <c r="H30" s="165"/>
      <c r="I30" s="165"/>
      <c r="J30" s="165"/>
      <c r="K30" s="165"/>
    </row>
    <row r="31" spans="2:13">
      <c r="B31" s="1154"/>
      <c r="C31" s="1156">
        <f>C22+C25</f>
        <v>5572.7145256087324</v>
      </c>
      <c r="D31" s="209" t="s">
        <v>19</v>
      </c>
      <c r="E31" s="208">
        <f t="shared" ref="E31:G33" si="7">K22+K25</f>
        <v>25153.049391211043</v>
      </c>
      <c r="F31" s="208">
        <f t="shared" si="7"/>
        <v>6967.3946813654602</v>
      </c>
      <c r="G31" s="208">
        <f t="shared" si="7"/>
        <v>1725.7507187309898</v>
      </c>
      <c r="H31" s="165"/>
      <c r="I31" s="165"/>
      <c r="J31" s="165"/>
      <c r="K31" s="165"/>
    </row>
    <row r="32" spans="2:13">
      <c r="B32" s="1154"/>
      <c r="C32" s="1159"/>
      <c r="D32" s="209" t="s">
        <v>339</v>
      </c>
      <c r="E32" s="208">
        <f t="shared" si="7"/>
        <v>111496.66567957473</v>
      </c>
      <c r="F32" s="208">
        <f t="shared" si="7"/>
        <v>30884.576393242201</v>
      </c>
      <c r="G32" s="208">
        <f t="shared" si="7"/>
        <v>8176.0504942832149</v>
      </c>
      <c r="H32" s="165"/>
      <c r="I32" s="165"/>
      <c r="J32" s="165"/>
      <c r="K32" s="165"/>
    </row>
    <row r="33" spans="2:7">
      <c r="B33" s="1154"/>
      <c r="C33" s="1160"/>
      <c r="D33" s="209" t="s">
        <v>341</v>
      </c>
      <c r="E33" s="208">
        <f t="shared" si="7"/>
        <v>1433.6735718741936</v>
      </c>
      <c r="F33" s="208">
        <f t="shared" si="7"/>
        <v>397.12757940915168</v>
      </c>
      <c r="G33" s="208">
        <f t="shared" si="7"/>
        <v>89.518577827824657</v>
      </c>
    </row>
    <row r="34" spans="2:7">
      <c r="B34" s="1154" t="s">
        <v>3</v>
      </c>
      <c r="C34" s="1154"/>
      <c r="D34" s="1154"/>
      <c r="E34" s="220">
        <f>SUM(E31:E33)</f>
        <v>138083.38864265996</v>
      </c>
      <c r="F34" s="220">
        <f>SUM(F31:F33)</f>
        <v>38249.098654016809</v>
      </c>
      <c r="G34" s="220">
        <f>SUM(G31:G33)</f>
        <v>9991.3197908420298</v>
      </c>
    </row>
  </sheetData>
  <mergeCells count="17">
    <mergeCell ref="B3:B5"/>
    <mergeCell ref="B6:B8"/>
    <mergeCell ref="B9:J9"/>
    <mergeCell ref="C3:C5"/>
    <mergeCell ref="C6:C8"/>
    <mergeCell ref="B34:D34"/>
    <mergeCell ref="B11:D11"/>
    <mergeCell ref="C22:C24"/>
    <mergeCell ref="C25:C27"/>
    <mergeCell ref="C31:C33"/>
    <mergeCell ref="C16:C18"/>
    <mergeCell ref="B15:B18"/>
    <mergeCell ref="B19:D19"/>
    <mergeCell ref="B30:B33"/>
    <mergeCell ref="B22:B24"/>
    <mergeCell ref="B25:B27"/>
    <mergeCell ref="B28:J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2:P54"/>
  <sheetViews>
    <sheetView showGridLines="0" view="pageBreakPreview" topLeftCell="A34" zoomScale="85" zoomScaleNormal="70" zoomScaleSheetLayoutView="85" workbookViewId="0">
      <selection activeCell="L42" sqref="L42:M47"/>
    </sheetView>
  </sheetViews>
  <sheetFormatPr defaultColWidth="10.875" defaultRowHeight="15"/>
  <cols>
    <col min="1" max="1" width="3.875" style="113" customWidth="1"/>
    <col min="2" max="16384" width="10.875" style="113"/>
  </cols>
  <sheetData>
    <row r="2" spans="2:16" ht="38.25">
      <c r="B2" s="219">
        <v>2014</v>
      </c>
      <c r="C2" s="219" t="s">
        <v>329</v>
      </c>
      <c r="D2" s="219" t="s">
        <v>330</v>
      </c>
      <c r="E2" s="219" t="s">
        <v>331</v>
      </c>
      <c r="F2" s="219" t="s">
        <v>332</v>
      </c>
      <c r="G2" s="219" t="s">
        <v>333</v>
      </c>
      <c r="H2" s="219" t="s">
        <v>334</v>
      </c>
      <c r="I2" s="219" t="s">
        <v>335</v>
      </c>
      <c r="J2" s="219" t="s">
        <v>13</v>
      </c>
      <c r="K2" s="219" t="s">
        <v>336</v>
      </c>
      <c r="L2" s="219" t="s">
        <v>337</v>
      </c>
      <c r="M2" s="219" t="s">
        <v>317</v>
      </c>
      <c r="N2" s="165"/>
    </row>
    <row r="3" spans="2:16">
      <c r="B3" s="1154" t="s">
        <v>17</v>
      </c>
      <c r="C3" s="1161">
        <v>322</v>
      </c>
      <c r="D3" s="210">
        <v>322</v>
      </c>
      <c r="E3" s="209" t="s">
        <v>19</v>
      </c>
      <c r="F3" s="209">
        <v>0.72</v>
      </c>
      <c r="G3" s="209">
        <v>5000</v>
      </c>
      <c r="H3" s="209">
        <v>0.04</v>
      </c>
      <c r="I3" s="209">
        <v>4.478E-2</v>
      </c>
      <c r="J3" s="209">
        <f>Wskaźniki!$C$18</f>
        <v>6.8610000000000004E-2</v>
      </c>
      <c r="K3" s="208">
        <f t="shared" ref="K3:K8" si="0">D3*F3*G3*H3*I3</f>
        <v>2076.3590399999998</v>
      </c>
      <c r="L3" s="208">
        <f t="shared" ref="L3:L8" si="1">K3*$C$13</f>
        <v>575.15145408000001</v>
      </c>
      <c r="M3" s="208">
        <f t="shared" ref="M3:M8" si="2">K3*J3</f>
        <v>142.4589937344</v>
      </c>
      <c r="N3" s="165"/>
    </row>
    <row r="4" spans="2:16">
      <c r="B4" s="1154"/>
      <c r="C4" s="1159"/>
      <c r="D4" s="210">
        <v>0</v>
      </c>
      <c r="E4" s="209" t="s">
        <v>339</v>
      </c>
      <c r="F4" s="209">
        <v>0.82</v>
      </c>
      <c r="G4" s="209">
        <v>5000</v>
      </c>
      <c r="H4" s="209">
        <v>0.04</v>
      </c>
      <c r="I4" s="209">
        <v>4.333E-2</v>
      </c>
      <c r="J4" s="209">
        <f>Wskaźniki!$C$21</f>
        <v>7.3330000000000006E-2</v>
      </c>
      <c r="K4" s="208">
        <f t="shared" si="0"/>
        <v>0</v>
      </c>
      <c r="L4" s="208">
        <f t="shared" si="1"/>
        <v>0</v>
      </c>
      <c r="M4" s="208">
        <f t="shared" si="2"/>
        <v>0</v>
      </c>
      <c r="N4" s="165"/>
    </row>
    <row r="5" spans="2:16">
      <c r="B5" s="1154"/>
      <c r="C5" s="1160"/>
      <c r="D5" s="210">
        <v>0</v>
      </c>
      <c r="E5" s="209" t="s">
        <v>341</v>
      </c>
      <c r="F5" s="209">
        <v>0.56200000000000006</v>
      </c>
      <c r="G5" s="209">
        <v>5000</v>
      </c>
      <c r="H5" s="209">
        <v>0</v>
      </c>
      <c r="I5" s="209">
        <v>4.7309999999999998E-2</v>
      </c>
      <c r="J5" s="209">
        <f>Wskaźniki!$C$15</f>
        <v>6.2440000000000002E-2</v>
      </c>
      <c r="K5" s="208">
        <f t="shared" si="0"/>
        <v>0</v>
      </c>
      <c r="L5" s="208">
        <f t="shared" si="1"/>
        <v>0</v>
      </c>
      <c r="M5" s="208">
        <f t="shared" si="2"/>
        <v>0</v>
      </c>
      <c r="N5" s="165"/>
    </row>
    <row r="6" spans="2:16">
      <c r="B6" s="1154" t="s">
        <v>343</v>
      </c>
      <c r="C6" s="1161">
        <v>5317</v>
      </c>
      <c r="D6" s="210">
        <v>1542</v>
      </c>
      <c r="E6" s="209" t="s">
        <v>19</v>
      </c>
      <c r="F6" s="209">
        <v>0.72</v>
      </c>
      <c r="G6" s="209">
        <v>5876</v>
      </c>
      <c r="H6" s="209">
        <v>0.08</v>
      </c>
      <c r="I6" s="209">
        <v>4.478E-2</v>
      </c>
      <c r="J6" s="209">
        <f>Wskaźniki!$C$18</f>
        <v>6.8610000000000004E-2</v>
      </c>
      <c r="K6" s="208">
        <f t="shared" si="0"/>
        <v>23370.754507776001</v>
      </c>
      <c r="L6" s="208">
        <f t="shared" si="1"/>
        <v>6473.6989986539529</v>
      </c>
      <c r="M6" s="208">
        <f t="shared" si="2"/>
        <v>1603.4674667785116</v>
      </c>
      <c r="N6" s="165"/>
    </row>
    <row r="7" spans="2:16">
      <c r="B7" s="1154"/>
      <c r="C7" s="1159"/>
      <c r="D7" s="210">
        <v>3722</v>
      </c>
      <c r="E7" s="209" t="s">
        <v>339</v>
      </c>
      <c r="F7" s="209">
        <v>0.82</v>
      </c>
      <c r="G7" s="209">
        <v>12016</v>
      </c>
      <c r="H7" s="209">
        <v>7.0999999999999994E-2</v>
      </c>
      <c r="I7" s="209">
        <v>4.333E-2</v>
      </c>
      <c r="J7" s="209">
        <f>Wskaźniki!$C$21</f>
        <v>7.3330000000000006E-2</v>
      </c>
      <c r="K7" s="208">
        <f t="shared" si="0"/>
        <v>112822.87920507519</v>
      </c>
      <c r="L7" s="208">
        <f t="shared" si="1"/>
        <v>31251.937539805833</v>
      </c>
      <c r="M7" s="208">
        <f t="shared" si="2"/>
        <v>8273.3017321081643</v>
      </c>
      <c r="N7" s="165"/>
      <c r="O7" s="165"/>
      <c r="P7" s="165"/>
    </row>
    <row r="8" spans="2:16">
      <c r="B8" s="1154"/>
      <c r="C8" s="1160"/>
      <c r="D8" s="210">
        <v>53</v>
      </c>
      <c r="E8" s="209" t="s">
        <v>341</v>
      </c>
      <c r="F8" s="209">
        <v>0.56200000000000006</v>
      </c>
      <c r="G8" s="209">
        <v>10093</v>
      </c>
      <c r="H8" s="209">
        <v>0.10199999999999999</v>
      </c>
      <c r="I8" s="209">
        <v>4.7309999999999998E-2</v>
      </c>
      <c r="J8" s="209">
        <f>Wskaźniki!$C$15</f>
        <v>6.2440000000000002E-2</v>
      </c>
      <c r="K8" s="208">
        <f t="shared" si="0"/>
        <v>1450.72661351076</v>
      </c>
      <c r="L8" s="208">
        <f t="shared" si="1"/>
        <v>401.85127194248054</v>
      </c>
      <c r="M8" s="208">
        <f t="shared" si="2"/>
        <v>90.583369747611854</v>
      </c>
      <c r="N8" s="165"/>
      <c r="O8" s="165"/>
      <c r="P8" s="165"/>
    </row>
    <row r="9" spans="2:16">
      <c r="B9" s="1154" t="s">
        <v>3</v>
      </c>
      <c r="C9" s="1154"/>
      <c r="D9" s="1154"/>
      <c r="E9" s="1154"/>
      <c r="F9" s="1154"/>
      <c r="G9" s="1154"/>
      <c r="H9" s="1154"/>
      <c r="I9" s="1154"/>
      <c r="J9" s="1154"/>
      <c r="K9" s="220">
        <f>SUM(K3:K8)</f>
        <v>139720.71936636194</v>
      </c>
      <c r="L9" s="220">
        <f>SUM(L3:L8)</f>
        <v>38702.63926448227</v>
      </c>
      <c r="M9" s="220">
        <f>SUM(M3:M8)</f>
        <v>10109.811562368688</v>
      </c>
      <c r="N9" s="165"/>
      <c r="O9" s="165"/>
      <c r="P9" s="165"/>
    </row>
    <row r="10" spans="2:16">
      <c r="B10" s="165"/>
      <c r="C10" s="165"/>
      <c r="D10" s="212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1" spans="2:16">
      <c r="B11" s="1155" t="s">
        <v>211</v>
      </c>
      <c r="C11" s="1155"/>
      <c r="D11" s="1155"/>
      <c r="E11" s="211"/>
      <c r="F11" s="216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2:16">
      <c r="B12" s="213" t="s">
        <v>212</v>
      </c>
      <c r="C12" s="214">
        <v>3.6</v>
      </c>
      <c r="D12" s="214" t="s">
        <v>207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2:16">
      <c r="B13" s="215" t="s">
        <v>213</v>
      </c>
      <c r="C13" s="214">
        <v>0.27700000000000002</v>
      </c>
      <c r="D13" s="214" t="s">
        <v>214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</row>
    <row r="15" spans="2:16" ht="25.5">
      <c r="B15" s="1154" t="s">
        <v>344</v>
      </c>
      <c r="C15" s="219" t="s">
        <v>329</v>
      </c>
      <c r="D15" s="219">
        <v>2014</v>
      </c>
      <c r="E15" s="219" t="s">
        <v>336</v>
      </c>
      <c r="F15" s="219" t="s">
        <v>337</v>
      </c>
      <c r="G15" s="219" t="s">
        <v>317</v>
      </c>
      <c r="H15" s="165"/>
      <c r="I15" s="165"/>
      <c r="J15" s="165"/>
      <c r="K15" s="165"/>
      <c r="L15" s="165"/>
      <c r="M15" s="165"/>
      <c r="N15" s="165"/>
    </row>
    <row r="16" spans="2:16">
      <c r="B16" s="1154"/>
      <c r="C16" s="1161">
        <f>C3+C6</f>
        <v>5639</v>
      </c>
      <c r="D16" s="209" t="s">
        <v>19</v>
      </c>
      <c r="E16" s="208">
        <f t="shared" ref="E16:G18" si="3">K3+K6</f>
        <v>25447.113547776</v>
      </c>
      <c r="F16" s="208">
        <f t="shared" si="3"/>
        <v>7048.8504527339528</v>
      </c>
      <c r="G16" s="208">
        <f t="shared" si="3"/>
        <v>1745.9264605129115</v>
      </c>
      <c r="H16" s="165"/>
      <c r="I16" s="165"/>
      <c r="J16" s="165"/>
      <c r="K16" s="165"/>
      <c r="L16" s="165"/>
      <c r="M16" s="165"/>
      <c r="N16" s="165"/>
    </row>
    <row r="17" spans="2:16">
      <c r="B17" s="1154"/>
      <c r="C17" s="1159"/>
      <c r="D17" s="209" t="s">
        <v>339</v>
      </c>
      <c r="E17" s="208">
        <f t="shared" si="3"/>
        <v>112822.87920507519</v>
      </c>
      <c r="F17" s="208">
        <f t="shared" si="3"/>
        <v>31251.937539805833</v>
      </c>
      <c r="G17" s="208">
        <f t="shared" si="3"/>
        <v>8273.3017321081643</v>
      </c>
      <c r="H17" s="165"/>
      <c r="I17" s="165"/>
      <c r="J17" s="165"/>
      <c r="K17" s="165"/>
    </row>
    <row r="18" spans="2:16">
      <c r="B18" s="1154"/>
      <c r="C18" s="1160"/>
      <c r="D18" s="209" t="s">
        <v>341</v>
      </c>
      <c r="E18" s="208">
        <f t="shared" si="3"/>
        <v>1450.72661351076</v>
      </c>
      <c r="F18" s="208">
        <f t="shared" si="3"/>
        <v>401.85127194248054</v>
      </c>
      <c r="G18" s="208">
        <f t="shared" si="3"/>
        <v>90.583369747611854</v>
      </c>
      <c r="H18" s="165"/>
      <c r="I18" s="165"/>
      <c r="J18" s="165"/>
      <c r="K18" s="165"/>
    </row>
    <row r="19" spans="2:16">
      <c r="B19" s="1162" t="s">
        <v>3</v>
      </c>
      <c r="C19" s="1163"/>
      <c r="D19" s="1164"/>
      <c r="E19" s="220">
        <f>SUM(E16:E18)</f>
        <v>139720.71936636194</v>
      </c>
      <c r="F19" s="220">
        <f>SUM(F16:F18)</f>
        <v>38702.63926448227</v>
      </c>
      <c r="G19" s="220">
        <f>SUM(G16:G18)</f>
        <v>10109.811562368688</v>
      </c>
      <c r="H19" s="165"/>
      <c r="I19" s="165"/>
      <c r="J19" s="165"/>
      <c r="K19" s="165"/>
    </row>
    <row r="21" spans="2:16" ht="38.25">
      <c r="B21" s="219">
        <v>2024</v>
      </c>
      <c r="C21" s="219" t="s">
        <v>329</v>
      </c>
      <c r="D21" s="219" t="s">
        <v>330</v>
      </c>
      <c r="E21" s="219" t="s">
        <v>331</v>
      </c>
      <c r="F21" s="219" t="s">
        <v>332</v>
      </c>
      <c r="G21" s="219" t="s">
        <v>333</v>
      </c>
      <c r="H21" s="219" t="s">
        <v>334</v>
      </c>
      <c r="I21" s="219" t="s">
        <v>335</v>
      </c>
      <c r="J21" s="219" t="s">
        <v>13</v>
      </c>
      <c r="K21" s="219" t="s">
        <v>336</v>
      </c>
      <c r="L21" s="219" t="s">
        <v>337</v>
      </c>
      <c r="M21" s="219" t="s">
        <v>317</v>
      </c>
      <c r="N21" s="165"/>
    </row>
    <row r="22" spans="2:16">
      <c r="B22" s="1154" t="s">
        <v>17</v>
      </c>
      <c r="C22" s="1156">
        <f>D22+D23+D24</f>
        <v>488</v>
      </c>
      <c r="D22" s="210">
        <v>488</v>
      </c>
      <c r="E22" s="209" t="s">
        <v>19</v>
      </c>
      <c r="F22" s="209">
        <v>0.72</v>
      </c>
      <c r="G22" s="209">
        <v>5000</v>
      </c>
      <c r="H22" s="209">
        <v>0.04</v>
      </c>
      <c r="I22" s="209">
        <v>4.478E-2</v>
      </c>
      <c r="J22" s="209">
        <f>Wskaźniki!$C$18</f>
        <v>6.8610000000000004E-2</v>
      </c>
      <c r="K22" s="208">
        <f t="shared" ref="K22:K27" si="4">D22*F22*G22*H22*I22</f>
        <v>3146.7801600000003</v>
      </c>
      <c r="L22" s="208">
        <f t="shared" ref="L22:L27" si="5">K22*$C$13</f>
        <v>871.65810432000012</v>
      </c>
      <c r="M22" s="208">
        <f t="shared" ref="M22:M27" si="6">K22*J22</f>
        <v>215.90058677760004</v>
      </c>
      <c r="N22" s="165"/>
    </row>
    <row r="23" spans="2:16">
      <c r="B23" s="1154"/>
      <c r="C23" s="1159"/>
      <c r="D23" s="210">
        <v>0</v>
      </c>
      <c r="E23" s="209" t="s">
        <v>339</v>
      </c>
      <c r="F23" s="209">
        <v>0.82</v>
      </c>
      <c r="G23" s="209">
        <v>5000</v>
      </c>
      <c r="H23" s="209">
        <v>0.04</v>
      </c>
      <c r="I23" s="209">
        <v>4.333E-2</v>
      </c>
      <c r="J23" s="209">
        <f>Wskaźniki!$C$21</f>
        <v>7.3330000000000006E-2</v>
      </c>
      <c r="K23" s="208">
        <f t="shared" si="4"/>
        <v>0</v>
      </c>
      <c r="L23" s="208">
        <f t="shared" si="5"/>
        <v>0</v>
      </c>
      <c r="M23" s="208">
        <f t="shared" si="6"/>
        <v>0</v>
      </c>
      <c r="N23" s="165"/>
    </row>
    <row r="24" spans="2:16">
      <c r="B24" s="1154"/>
      <c r="C24" s="1160"/>
      <c r="D24" s="210">
        <v>0</v>
      </c>
      <c r="E24" s="209" t="s">
        <v>341</v>
      </c>
      <c r="F24" s="209">
        <v>0.56200000000000006</v>
      </c>
      <c r="G24" s="209">
        <v>5000</v>
      </c>
      <c r="H24" s="209">
        <v>0</v>
      </c>
      <c r="I24" s="209">
        <v>4.7309999999999998E-2</v>
      </c>
      <c r="J24" s="209">
        <f>Wskaźniki!$C$15</f>
        <v>6.2440000000000002E-2</v>
      </c>
      <c r="K24" s="208">
        <f t="shared" si="4"/>
        <v>0</v>
      </c>
      <c r="L24" s="208">
        <f t="shared" si="5"/>
        <v>0</v>
      </c>
      <c r="M24" s="208">
        <f t="shared" si="6"/>
        <v>0</v>
      </c>
      <c r="N24" s="165"/>
    </row>
    <row r="25" spans="2:16">
      <c r="B25" s="1154" t="s">
        <v>343</v>
      </c>
      <c r="C25" s="1156">
        <f>D25+D26+D27</f>
        <v>7051</v>
      </c>
      <c r="D25" s="210">
        <v>3462</v>
      </c>
      <c r="E25" s="209" t="s">
        <v>19</v>
      </c>
      <c r="F25" s="209">
        <v>0.72</v>
      </c>
      <c r="G25" s="209">
        <v>5876</v>
      </c>
      <c r="H25" s="209">
        <v>0.08</v>
      </c>
      <c r="I25" s="209">
        <v>4.478E-2</v>
      </c>
      <c r="J25" s="209">
        <f>Wskaźniki!$C$18</f>
        <v>6.8610000000000004E-2</v>
      </c>
      <c r="K25" s="208">
        <f t="shared" si="4"/>
        <v>52470.526657536</v>
      </c>
      <c r="L25" s="208">
        <f t="shared" si="5"/>
        <v>14534.335884137474</v>
      </c>
      <c r="M25" s="208">
        <f t="shared" si="6"/>
        <v>3600.0028339735454</v>
      </c>
      <c r="N25" s="165"/>
    </row>
    <row r="26" spans="2:16">
      <c r="B26" s="1154"/>
      <c r="C26" s="1159"/>
      <c r="D26" s="210">
        <v>2207</v>
      </c>
      <c r="E26" s="209" t="s">
        <v>339</v>
      </c>
      <c r="F26" s="209">
        <v>0.82</v>
      </c>
      <c r="G26" s="209">
        <v>12016</v>
      </c>
      <c r="H26" s="209">
        <v>7.0999999999999994E-2</v>
      </c>
      <c r="I26" s="209">
        <v>4.333E-2</v>
      </c>
      <c r="J26" s="209">
        <f>Wskaźniki!$C$21</f>
        <v>7.3330000000000006E-2</v>
      </c>
      <c r="K26" s="208">
        <f t="shared" si="4"/>
        <v>66899.541753251178</v>
      </c>
      <c r="L26" s="208">
        <f t="shared" si="5"/>
        <v>18531.173065650579</v>
      </c>
      <c r="M26" s="208">
        <f t="shared" si="6"/>
        <v>4905.743396765909</v>
      </c>
      <c r="N26" s="165"/>
      <c r="O26" s="165"/>
      <c r="P26" s="165"/>
    </row>
    <row r="27" spans="2:16">
      <c r="B27" s="1154"/>
      <c r="C27" s="1160"/>
      <c r="D27" s="210">
        <v>1382</v>
      </c>
      <c r="E27" s="209" t="s">
        <v>341</v>
      </c>
      <c r="F27" s="209">
        <v>0.56200000000000006</v>
      </c>
      <c r="G27" s="209">
        <v>10093</v>
      </c>
      <c r="H27" s="209">
        <v>0.10199999999999999</v>
      </c>
      <c r="I27" s="209">
        <v>4.7309999999999998E-2</v>
      </c>
      <c r="J27" s="209">
        <f>Wskaźniki!$C$15</f>
        <v>6.2440000000000002E-2</v>
      </c>
      <c r="K27" s="208">
        <f t="shared" si="4"/>
        <v>37828.380752299439</v>
      </c>
      <c r="L27" s="208">
        <f t="shared" si="5"/>
        <v>10478.461468386946</v>
      </c>
      <c r="M27" s="208">
        <f t="shared" si="6"/>
        <v>2362.004094173577</v>
      </c>
      <c r="N27" s="165"/>
      <c r="O27" s="165"/>
      <c r="P27" s="165"/>
    </row>
    <row r="28" spans="2:16">
      <c r="B28" s="1154" t="s">
        <v>3</v>
      </c>
      <c r="C28" s="1154"/>
      <c r="D28" s="1154"/>
      <c r="E28" s="1154"/>
      <c r="F28" s="1154"/>
      <c r="G28" s="1154"/>
      <c r="H28" s="1154"/>
      <c r="I28" s="1154"/>
      <c r="J28" s="1154"/>
      <c r="K28" s="220">
        <f>SUM(K22:K27)</f>
        <v>160345.22932308662</v>
      </c>
      <c r="L28" s="220">
        <f>SUM(L22:L27)</f>
        <v>44415.628522494997</v>
      </c>
      <c r="M28" s="220">
        <f>SUM(M22:M27)</f>
        <v>11083.650911690631</v>
      </c>
      <c r="N28" s="165"/>
      <c r="O28" s="165"/>
      <c r="P28" s="165"/>
    </row>
    <row r="29" spans="2:16">
      <c r="B29" s="165"/>
      <c r="C29" s="165"/>
      <c r="D29" s="212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</row>
    <row r="30" spans="2:16">
      <c r="B30" s="1155" t="s">
        <v>211</v>
      </c>
      <c r="C30" s="1155"/>
      <c r="D30" s="1155"/>
      <c r="E30" s="211"/>
      <c r="F30" s="216"/>
      <c r="G30" s="165"/>
      <c r="H30" s="165"/>
      <c r="I30" s="165"/>
      <c r="J30" s="165"/>
      <c r="K30" s="165"/>
      <c r="L30" s="165"/>
      <c r="M30" s="165"/>
      <c r="N30" s="165"/>
      <c r="O30" s="165"/>
      <c r="P30" s="165"/>
    </row>
    <row r="31" spans="2:16">
      <c r="B31" s="213" t="s">
        <v>212</v>
      </c>
      <c r="C31" s="214">
        <v>3.6</v>
      </c>
      <c r="D31" s="214" t="s">
        <v>207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  <row r="32" spans="2:16">
      <c r="B32" s="215" t="s">
        <v>213</v>
      </c>
      <c r="C32" s="214">
        <v>0.27700000000000002</v>
      </c>
      <c r="D32" s="214" t="s">
        <v>214</v>
      </c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4" spans="2:14" ht="25.5">
      <c r="B34" s="1154" t="s">
        <v>344</v>
      </c>
      <c r="C34" s="219" t="s">
        <v>329</v>
      </c>
      <c r="D34" s="219">
        <v>2024</v>
      </c>
      <c r="E34" s="219" t="s">
        <v>336</v>
      </c>
      <c r="F34" s="219" t="s">
        <v>337</v>
      </c>
      <c r="G34" s="219" t="s">
        <v>317</v>
      </c>
      <c r="H34" s="165"/>
      <c r="I34" s="165"/>
      <c r="J34" s="165"/>
      <c r="K34" s="165"/>
      <c r="L34" s="165"/>
      <c r="M34" s="165"/>
      <c r="N34" s="165"/>
    </row>
    <row r="35" spans="2:14">
      <c r="B35" s="1154"/>
      <c r="C35" s="1161">
        <f>C22+C25</f>
        <v>7539</v>
      </c>
      <c r="D35" s="209" t="s">
        <v>19</v>
      </c>
      <c r="E35" s="208">
        <f t="shared" ref="E35:G37" si="7">K22+K25</f>
        <v>55617.306817536002</v>
      </c>
      <c r="F35" s="208">
        <f t="shared" si="7"/>
        <v>15405.993988457474</v>
      </c>
      <c r="G35" s="208">
        <f t="shared" si="7"/>
        <v>3815.9034207511454</v>
      </c>
      <c r="H35" s="165"/>
      <c r="I35" s="165"/>
      <c r="J35" s="165"/>
      <c r="K35" s="165"/>
      <c r="L35" s="165"/>
      <c r="M35" s="165"/>
      <c r="N35" s="165"/>
    </row>
    <row r="36" spans="2:14">
      <c r="B36" s="1154"/>
      <c r="C36" s="1159"/>
      <c r="D36" s="209" t="s">
        <v>339</v>
      </c>
      <c r="E36" s="208">
        <f t="shared" si="7"/>
        <v>66899.541753251178</v>
      </c>
      <c r="F36" s="208">
        <f t="shared" si="7"/>
        <v>18531.173065650579</v>
      </c>
      <c r="G36" s="208">
        <f t="shared" si="7"/>
        <v>4905.743396765909</v>
      </c>
      <c r="H36" s="165"/>
      <c r="I36" s="165"/>
      <c r="J36" s="165"/>
      <c r="K36" s="165"/>
    </row>
    <row r="37" spans="2:14">
      <c r="B37" s="1154"/>
      <c r="C37" s="1160"/>
      <c r="D37" s="209" t="s">
        <v>341</v>
      </c>
      <c r="E37" s="208">
        <f t="shared" si="7"/>
        <v>37828.380752299439</v>
      </c>
      <c r="F37" s="208">
        <f t="shared" si="7"/>
        <v>10478.461468386946</v>
      </c>
      <c r="G37" s="208">
        <f t="shared" si="7"/>
        <v>2362.004094173577</v>
      </c>
      <c r="H37" s="165"/>
      <c r="I37" s="165"/>
      <c r="J37" s="165"/>
      <c r="K37" s="165"/>
    </row>
    <row r="38" spans="2:14">
      <c r="B38" s="1162" t="s">
        <v>3</v>
      </c>
      <c r="C38" s="1163"/>
      <c r="D38" s="1164"/>
      <c r="E38" s="220">
        <f>SUM(E35:E37)</f>
        <v>160345.22932308662</v>
      </c>
      <c r="F38" s="220">
        <f>SUM(F35:F37)</f>
        <v>44415.628522494997</v>
      </c>
      <c r="G38" s="220">
        <f>SUM(G35:G37)</f>
        <v>11083.650911690631</v>
      </c>
      <c r="H38" s="165"/>
      <c r="I38" s="165"/>
      <c r="J38" s="165"/>
      <c r="K38" s="165"/>
    </row>
    <row r="41" spans="2:14" ht="38.25">
      <c r="B41" s="219">
        <v>2028</v>
      </c>
      <c r="C41" s="219" t="s">
        <v>329</v>
      </c>
      <c r="D41" s="219" t="s">
        <v>330</v>
      </c>
      <c r="E41" s="219" t="s">
        <v>331</v>
      </c>
      <c r="F41" s="219" t="s">
        <v>332</v>
      </c>
      <c r="G41" s="219" t="s">
        <v>333</v>
      </c>
      <c r="H41" s="219" t="s">
        <v>334</v>
      </c>
      <c r="I41" s="219" t="s">
        <v>335</v>
      </c>
      <c r="J41" s="219" t="s">
        <v>13</v>
      </c>
      <c r="K41" s="219" t="s">
        <v>336</v>
      </c>
      <c r="L41" s="219" t="s">
        <v>337</v>
      </c>
      <c r="M41" s="219" t="s">
        <v>317</v>
      </c>
    </row>
    <row r="42" spans="2:14">
      <c r="B42" s="1165" t="s">
        <v>17</v>
      </c>
      <c r="C42" s="1156">
        <f>C22/Charakterystyka_2028!$L$9*Charakterystyka_2028!AI9</f>
        <v>434.31908080617819</v>
      </c>
      <c r="D42" s="210">
        <f>C42</f>
        <v>434.31908080617819</v>
      </c>
      <c r="E42" s="209" t="s">
        <v>19</v>
      </c>
      <c r="F42" s="209">
        <v>0.72</v>
      </c>
      <c r="G42" s="209">
        <v>5000</v>
      </c>
      <c r="H42" s="209">
        <v>0.04</v>
      </c>
      <c r="I42" s="209">
        <v>4.478E-2</v>
      </c>
      <c r="J42" s="209">
        <f>Wskaźniki!$C$18</f>
        <v>6.8610000000000004E-2</v>
      </c>
      <c r="K42" s="208">
        <f t="shared" ref="K42:K47" si="8">D42*F42*G42*H42*I42</f>
        <v>2800.628415144095</v>
      </c>
      <c r="L42" s="208">
        <f t="shared" ref="L42:L47" si="9">K42*$C$13</f>
        <v>775.77407099491438</v>
      </c>
      <c r="M42" s="208">
        <f t="shared" ref="M42:M47" si="10">K42*J42</f>
        <v>192.15111556303637</v>
      </c>
    </row>
    <row r="43" spans="2:14">
      <c r="B43" s="1166"/>
      <c r="C43" s="1157"/>
      <c r="D43" s="210">
        <v>0</v>
      </c>
      <c r="E43" s="209" t="s">
        <v>339</v>
      </c>
      <c r="F43" s="209">
        <v>0.82</v>
      </c>
      <c r="G43" s="209">
        <v>5000</v>
      </c>
      <c r="H43" s="209">
        <v>0.04</v>
      </c>
      <c r="I43" s="209">
        <v>4.333E-2</v>
      </c>
      <c r="J43" s="209">
        <f>Wskaźniki!$C$21</f>
        <v>7.3330000000000006E-2</v>
      </c>
      <c r="K43" s="208">
        <f t="shared" si="8"/>
        <v>0</v>
      </c>
      <c r="L43" s="208">
        <f t="shared" si="9"/>
        <v>0</v>
      </c>
      <c r="M43" s="208">
        <f t="shared" si="10"/>
        <v>0</v>
      </c>
    </row>
    <row r="44" spans="2:14">
      <c r="B44" s="1167"/>
      <c r="C44" s="1158"/>
      <c r="D44" s="210">
        <v>0</v>
      </c>
      <c r="E44" s="209" t="s">
        <v>341</v>
      </c>
      <c r="F44" s="209">
        <v>0.56200000000000006</v>
      </c>
      <c r="G44" s="209">
        <v>5000</v>
      </c>
      <c r="H44" s="209">
        <v>0</v>
      </c>
      <c r="I44" s="209">
        <v>4.7309999999999998E-2</v>
      </c>
      <c r="J44" s="209">
        <f>Wskaźniki!$C$15</f>
        <v>6.2440000000000002E-2</v>
      </c>
      <c r="K44" s="208">
        <f t="shared" si="8"/>
        <v>0</v>
      </c>
      <c r="L44" s="208">
        <f t="shared" si="9"/>
        <v>0</v>
      </c>
      <c r="M44" s="208">
        <f t="shared" si="10"/>
        <v>0</v>
      </c>
    </row>
    <row r="45" spans="2:14">
      <c r="B45" s="1165" t="s">
        <v>343</v>
      </c>
      <c r="C45" s="1156">
        <f>D45+D46+D47</f>
        <v>4732.1199849312488</v>
      </c>
      <c r="D45" s="210">
        <f>D6/Charakterystyka_2028!$L$9*Charakterystyka_2028!AI9</f>
        <v>1372.3770954982106</v>
      </c>
      <c r="E45" s="209" t="s">
        <v>19</v>
      </c>
      <c r="F45" s="209">
        <v>0.72</v>
      </c>
      <c r="G45" s="209">
        <v>5876</v>
      </c>
      <c r="H45" s="209">
        <v>0.08</v>
      </c>
      <c r="I45" s="209">
        <v>4.478E-2</v>
      </c>
      <c r="J45" s="209">
        <f>Wskaźniki!$C$18</f>
        <v>6.8610000000000004E-2</v>
      </c>
      <c r="K45" s="208">
        <f t="shared" si="8"/>
        <v>20799.927490910075</v>
      </c>
      <c r="L45" s="208">
        <f t="shared" si="9"/>
        <v>5761.5799149820914</v>
      </c>
      <c r="M45" s="208">
        <f t="shared" si="10"/>
        <v>1427.0830251513403</v>
      </c>
    </row>
    <row r="46" spans="2:14">
      <c r="B46" s="1166"/>
      <c r="C46" s="1157"/>
      <c r="D46" s="210">
        <f>D7/Charakterystyka_2028!$L$9*Charakterystyka_2028!AI9</f>
        <v>3312.5729892635145</v>
      </c>
      <c r="E46" s="209" t="s">
        <v>339</v>
      </c>
      <c r="F46" s="209">
        <v>0.82</v>
      </c>
      <c r="G46" s="209">
        <v>12016</v>
      </c>
      <c r="H46" s="209">
        <v>7.0999999999999994E-2</v>
      </c>
      <c r="I46" s="209">
        <v>4.333E-2</v>
      </c>
      <c r="J46" s="209">
        <f>Wskaźniki!$C$21</f>
        <v>7.3330000000000006E-2</v>
      </c>
      <c r="K46" s="208">
        <f t="shared" si="8"/>
        <v>100412.14998003017</v>
      </c>
      <c r="L46" s="208">
        <f t="shared" si="9"/>
        <v>27814.16554446836</v>
      </c>
      <c r="M46" s="208">
        <f t="shared" si="10"/>
        <v>7363.2229580356125</v>
      </c>
    </row>
    <row r="47" spans="2:14">
      <c r="B47" s="1167"/>
      <c r="C47" s="1158"/>
      <c r="D47" s="210">
        <f>D8/Charakterystyka_2028!$L$9*Charakterystyka_2028!AI9</f>
        <v>47.169900169523451</v>
      </c>
      <c r="E47" s="209" t="s">
        <v>341</v>
      </c>
      <c r="F47" s="209">
        <v>0.56200000000000006</v>
      </c>
      <c r="G47" s="209">
        <v>10093</v>
      </c>
      <c r="H47" s="209">
        <v>0.10199999999999999</v>
      </c>
      <c r="I47" s="209">
        <v>4.7309999999999998E-2</v>
      </c>
      <c r="J47" s="209">
        <f>Wskaźniki!$C$15</f>
        <v>6.2440000000000002E-2</v>
      </c>
      <c r="K47" s="208">
        <f t="shared" si="8"/>
        <v>1291.1439534447809</v>
      </c>
      <c r="L47" s="208">
        <f t="shared" si="9"/>
        <v>357.64687510420436</v>
      </c>
      <c r="M47" s="208">
        <f t="shared" si="10"/>
        <v>80.619028453092128</v>
      </c>
    </row>
    <row r="48" spans="2:14">
      <c r="B48" s="1162" t="s">
        <v>3</v>
      </c>
      <c r="C48" s="1163"/>
      <c r="D48" s="1163"/>
      <c r="E48" s="1163"/>
      <c r="F48" s="1163"/>
      <c r="G48" s="1163"/>
      <c r="H48" s="1163"/>
      <c r="I48" s="1163"/>
      <c r="J48" s="1164"/>
      <c r="K48" s="220">
        <f>SUM(K42:K47)</f>
        <v>125303.84983952912</v>
      </c>
      <c r="L48" s="220">
        <f>SUM(L42:L47)</f>
        <v>34709.166405549571</v>
      </c>
      <c r="M48" s="220">
        <f>SUM(M42:M47)</f>
        <v>9063.0761272030813</v>
      </c>
    </row>
    <row r="50" spans="2:11" ht="25.5">
      <c r="B50" s="1154" t="s">
        <v>344</v>
      </c>
      <c r="C50" s="219" t="s">
        <v>329</v>
      </c>
      <c r="D50" s="219">
        <v>2028</v>
      </c>
      <c r="E50" s="219" t="s">
        <v>336</v>
      </c>
      <c r="F50" s="219" t="s">
        <v>337</v>
      </c>
      <c r="G50" s="219" t="s">
        <v>317</v>
      </c>
      <c r="H50" s="165"/>
      <c r="I50" s="165"/>
      <c r="J50" s="165"/>
      <c r="K50" s="165"/>
    </row>
    <row r="51" spans="2:11">
      <c r="B51" s="1154"/>
      <c r="C51" s="1156">
        <f>C42+C45</f>
        <v>5166.439065737427</v>
      </c>
      <c r="D51" s="209" t="s">
        <v>19</v>
      </c>
      <c r="E51" s="208">
        <f t="shared" ref="E51:G53" si="11">K42+K45</f>
        <v>23600.555906054171</v>
      </c>
      <c r="F51" s="208">
        <f t="shared" si="11"/>
        <v>6537.3539859770062</v>
      </c>
      <c r="G51" s="208">
        <f t="shared" si="11"/>
        <v>1619.2341407143767</v>
      </c>
      <c r="H51" s="165"/>
      <c r="I51" s="165"/>
      <c r="J51" s="165"/>
      <c r="K51" s="165"/>
    </row>
    <row r="52" spans="2:11">
      <c r="B52" s="1154"/>
      <c r="C52" s="1159"/>
      <c r="D52" s="209" t="s">
        <v>339</v>
      </c>
      <c r="E52" s="208">
        <f t="shared" si="11"/>
        <v>100412.14998003017</v>
      </c>
      <c r="F52" s="208">
        <f t="shared" si="11"/>
        <v>27814.16554446836</v>
      </c>
      <c r="G52" s="208">
        <f t="shared" si="11"/>
        <v>7363.2229580356125</v>
      </c>
      <c r="H52" s="165"/>
      <c r="I52" s="165"/>
      <c r="J52" s="165"/>
      <c r="K52" s="165"/>
    </row>
    <row r="53" spans="2:11">
      <c r="B53" s="1154"/>
      <c r="C53" s="1160"/>
      <c r="D53" s="209" t="s">
        <v>341</v>
      </c>
      <c r="E53" s="208">
        <f t="shared" si="11"/>
        <v>1291.1439534447809</v>
      </c>
      <c r="F53" s="208">
        <f t="shared" si="11"/>
        <v>357.64687510420436</v>
      </c>
      <c r="G53" s="208">
        <f t="shared" si="11"/>
        <v>80.619028453092128</v>
      </c>
    </row>
    <row r="54" spans="2:11">
      <c r="B54" s="1154" t="s">
        <v>3</v>
      </c>
      <c r="C54" s="1154"/>
      <c r="D54" s="1154"/>
      <c r="E54" s="220">
        <f>SUM(E51:E53)</f>
        <v>125303.84983952912</v>
      </c>
      <c r="F54" s="220">
        <f>SUM(F51:F53)</f>
        <v>34709.166405549571</v>
      </c>
      <c r="G54" s="220">
        <f>SUM(G51:G53)</f>
        <v>9063.0761272030813</v>
      </c>
    </row>
  </sheetData>
  <mergeCells count="26">
    <mergeCell ref="B11:D11"/>
    <mergeCell ref="B3:B5"/>
    <mergeCell ref="C3:C5"/>
    <mergeCell ref="B6:B8"/>
    <mergeCell ref="C6:C8"/>
    <mergeCell ref="B9:J9"/>
    <mergeCell ref="B15:B18"/>
    <mergeCell ref="C16:C18"/>
    <mergeCell ref="B19:D19"/>
    <mergeCell ref="B42:B44"/>
    <mergeCell ref="C42:C44"/>
    <mergeCell ref="B22:B24"/>
    <mergeCell ref="C22:C24"/>
    <mergeCell ref="B25:B27"/>
    <mergeCell ref="C25:C27"/>
    <mergeCell ref="B28:J28"/>
    <mergeCell ref="B30:D30"/>
    <mergeCell ref="B34:B37"/>
    <mergeCell ref="C35:C37"/>
    <mergeCell ref="B38:D38"/>
    <mergeCell ref="B48:J48"/>
    <mergeCell ref="B50:B53"/>
    <mergeCell ref="C51:C53"/>
    <mergeCell ref="B54:D54"/>
    <mergeCell ref="B45:B47"/>
    <mergeCell ref="C45:C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2:N34"/>
  <sheetViews>
    <sheetView showGridLines="0" topLeftCell="A7" zoomScale="90" zoomScaleNormal="90" workbookViewId="0">
      <selection activeCell="S39" sqref="S39"/>
    </sheetView>
  </sheetViews>
  <sheetFormatPr defaultColWidth="10.875" defaultRowHeight="15"/>
  <cols>
    <col min="1" max="1" width="6.25" style="113" customWidth="1"/>
    <col min="2" max="13" width="10.875" style="113"/>
    <col min="14" max="14" width="5.375" style="113" customWidth="1"/>
    <col min="15" max="16384" width="10.875" style="113"/>
  </cols>
  <sheetData>
    <row r="2" spans="2:14" ht="38.25">
      <c r="B2" s="219">
        <v>2014</v>
      </c>
      <c r="C2" s="219" t="s">
        <v>329</v>
      </c>
      <c r="D2" s="219" t="s">
        <v>330</v>
      </c>
      <c r="E2" s="219" t="s">
        <v>331</v>
      </c>
      <c r="F2" s="219" t="s">
        <v>332</v>
      </c>
      <c r="G2" s="219" t="s">
        <v>333</v>
      </c>
      <c r="H2" s="219" t="s">
        <v>334</v>
      </c>
      <c r="I2" s="219" t="s">
        <v>335</v>
      </c>
      <c r="J2" s="219" t="s">
        <v>13</v>
      </c>
      <c r="K2" s="219" t="s">
        <v>336</v>
      </c>
      <c r="L2" s="219" t="s">
        <v>337</v>
      </c>
      <c r="M2" s="219" t="s">
        <v>317</v>
      </c>
      <c r="N2" s="165"/>
    </row>
    <row r="3" spans="2:14">
      <c r="B3" s="1154" t="s">
        <v>18</v>
      </c>
      <c r="C3" s="1161">
        <v>708</v>
      </c>
      <c r="D3" s="210">
        <v>205</v>
      </c>
      <c r="E3" s="209" t="s">
        <v>19</v>
      </c>
      <c r="F3" s="209">
        <v>0.72</v>
      </c>
      <c r="G3" s="209">
        <v>5000</v>
      </c>
      <c r="H3" s="209">
        <v>0.32100000000000001</v>
      </c>
      <c r="I3" s="209">
        <v>4.478E-2</v>
      </c>
      <c r="J3" s="209">
        <f>Wskaźniki!$C$18</f>
        <v>6.8610000000000004E-2</v>
      </c>
      <c r="K3" s="208">
        <f t="shared" ref="K3:K8" si="0">D3*F3*G3*H3*I3</f>
        <v>10608.292439999999</v>
      </c>
      <c r="L3" s="208">
        <f t="shared" ref="L3:L8" si="1">K3*$C$13</f>
        <v>2938.49700588</v>
      </c>
      <c r="M3" s="208">
        <f t="shared" ref="M3:M8" si="2">K3*J3</f>
        <v>727.83494430839994</v>
      </c>
      <c r="N3" s="165"/>
    </row>
    <row r="4" spans="2:14">
      <c r="B4" s="1154"/>
      <c r="C4" s="1159"/>
      <c r="D4" s="210">
        <v>503</v>
      </c>
      <c r="E4" s="209" t="s">
        <v>339</v>
      </c>
      <c r="F4" s="209">
        <v>0.82</v>
      </c>
      <c r="G4" s="209">
        <v>5000</v>
      </c>
      <c r="H4" s="209">
        <v>0.248</v>
      </c>
      <c r="I4" s="209">
        <v>4.333E-2</v>
      </c>
      <c r="J4" s="209">
        <f>Wskaźniki!$C$21</f>
        <v>7.3330000000000006E-2</v>
      </c>
      <c r="K4" s="208">
        <f t="shared" si="0"/>
        <v>22161.145832000002</v>
      </c>
      <c r="L4" s="208">
        <f t="shared" si="1"/>
        <v>6138.6373954640012</v>
      </c>
      <c r="M4" s="208">
        <f t="shared" si="2"/>
        <v>1625.0768238605604</v>
      </c>
      <c r="N4" s="165"/>
    </row>
    <row r="5" spans="2:14">
      <c r="B5" s="1154"/>
      <c r="C5" s="1160"/>
      <c r="D5" s="210">
        <v>0</v>
      </c>
      <c r="E5" s="209" t="s">
        <v>341</v>
      </c>
      <c r="F5" s="209">
        <v>0.56200000000000006</v>
      </c>
      <c r="G5" s="209">
        <v>5000</v>
      </c>
      <c r="H5" s="209">
        <v>0.32100000000000001</v>
      </c>
      <c r="I5" s="209">
        <v>4.7309999999999998E-2</v>
      </c>
      <c r="J5" s="209">
        <f>Wskaźniki!$C$15</f>
        <v>6.2440000000000002E-2</v>
      </c>
      <c r="K5" s="208">
        <f t="shared" si="0"/>
        <v>0</v>
      </c>
      <c r="L5" s="208">
        <f t="shared" si="1"/>
        <v>0</v>
      </c>
      <c r="M5" s="208">
        <f t="shared" si="2"/>
        <v>0</v>
      </c>
      <c r="N5" s="165"/>
    </row>
    <row r="6" spans="2:14">
      <c r="B6" s="1154" t="s">
        <v>21</v>
      </c>
      <c r="C6" s="1161">
        <v>49</v>
      </c>
      <c r="D6" s="210">
        <v>14</v>
      </c>
      <c r="E6" s="209" t="s">
        <v>19</v>
      </c>
      <c r="F6" s="209">
        <v>0.72</v>
      </c>
      <c r="G6" s="209">
        <v>5876</v>
      </c>
      <c r="H6" s="209">
        <v>0.32100000000000001</v>
      </c>
      <c r="I6" s="209">
        <v>4.478E-2</v>
      </c>
      <c r="J6" s="209">
        <f>Wskaźniki!$C$18</f>
        <v>6.8610000000000004E-2</v>
      </c>
      <c r="K6" s="208">
        <f t="shared" si="0"/>
        <v>851.39567735039998</v>
      </c>
      <c r="L6" s="208">
        <f t="shared" si="1"/>
        <v>235.83660262606082</v>
      </c>
      <c r="M6" s="208">
        <f t="shared" si="2"/>
        <v>58.414257423010945</v>
      </c>
      <c r="N6" s="165"/>
    </row>
    <row r="7" spans="2:14">
      <c r="B7" s="1154"/>
      <c r="C7" s="1159"/>
      <c r="D7" s="210">
        <v>34</v>
      </c>
      <c r="E7" s="209" t="s">
        <v>339</v>
      </c>
      <c r="F7" s="209">
        <v>0.82</v>
      </c>
      <c r="G7" s="209">
        <v>12016</v>
      </c>
      <c r="H7" s="209">
        <v>0.248</v>
      </c>
      <c r="I7" s="209">
        <v>4.333E-2</v>
      </c>
      <c r="J7" s="209">
        <f>Wskaźniki!$C$21</f>
        <v>7.3330000000000006E-2</v>
      </c>
      <c r="K7" s="208">
        <f t="shared" si="0"/>
        <v>3599.9217347072004</v>
      </c>
      <c r="L7" s="208">
        <f t="shared" si="1"/>
        <v>997.17832051389462</v>
      </c>
      <c r="M7" s="208">
        <f t="shared" si="2"/>
        <v>263.98226080607901</v>
      </c>
      <c r="N7" s="165"/>
    </row>
    <row r="8" spans="2:14">
      <c r="B8" s="1154"/>
      <c r="C8" s="1160"/>
      <c r="D8" s="210">
        <v>0</v>
      </c>
      <c r="E8" s="209" t="s">
        <v>341</v>
      </c>
      <c r="F8" s="209">
        <v>0.56200000000000006</v>
      </c>
      <c r="G8" s="209">
        <v>10093</v>
      </c>
      <c r="H8" s="209">
        <v>0.32100000000000001</v>
      </c>
      <c r="I8" s="209">
        <v>4.7309999999999998E-2</v>
      </c>
      <c r="J8" s="209">
        <f>Wskaźniki!$C$15</f>
        <v>6.2440000000000002E-2</v>
      </c>
      <c r="K8" s="208">
        <f t="shared" si="0"/>
        <v>0</v>
      </c>
      <c r="L8" s="208">
        <f t="shared" si="1"/>
        <v>0</v>
      </c>
      <c r="M8" s="208">
        <f t="shared" si="2"/>
        <v>0</v>
      </c>
      <c r="N8" s="165"/>
    </row>
    <row r="9" spans="2:14">
      <c r="B9" s="1154" t="s">
        <v>3</v>
      </c>
      <c r="C9" s="1154"/>
      <c r="D9" s="1154"/>
      <c r="E9" s="1154"/>
      <c r="F9" s="1154"/>
      <c r="G9" s="1154"/>
      <c r="H9" s="1154"/>
      <c r="I9" s="1154"/>
      <c r="J9" s="1154"/>
      <c r="K9" s="220">
        <f>SUM(K3:K8)</f>
        <v>37220.7556840576</v>
      </c>
      <c r="L9" s="220">
        <f>SUM(L3:L8)</f>
        <v>10310.149324483957</v>
      </c>
      <c r="M9" s="220">
        <f>SUM(M3:M8)</f>
        <v>2675.3082863980503</v>
      </c>
      <c r="N9" s="165"/>
    </row>
    <row r="10" spans="2:14">
      <c r="B10" s="165"/>
      <c r="C10" s="165"/>
      <c r="D10" s="212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2:14">
      <c r="B11" s="1155" t="s">
        <v>211</v>
      </c>
      <c r="C11" s="1155"/>
      <c r="D11" s="1155"/>
      <c r="E11" s="211"/>
      <c r="F11" s="216"/>
      <c r="G11" s="165"/>
      <c r="H11" s="165"/>
      <c r="I11" s="165"/>
      <c r="J11" s="165"/>
      <c r="K11" s="165"/>
      <c r="L11" s="165"/>
      <c r="M11" s="165"/>
      <c r="N11" s="165"/>
    </row>
    <row r="12" spans="2:14">
      <c r="B12" s="213" t="s">
        <v>212</v>
      </c>
      <c r="C12" s="214">
        <v>3.6</v>
      </c>
      <c r="D12" s="214" t="s">
        <v>207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2:14">
      <c r="B13" s="215" t="s">
        <v>213</v>
      </c>
      <c r="C13" s="214">
        <v>0.27700000000000002</v>
      </c>
      <c r="D13" s="214" t="s">
        <v>214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5" spans="2:14" ht="25.5">
      <c r="B15" s="1154" t="s">
        <v>349</v>
      </c>
      <c r="C15" s="219" t="s">
        <v>329</v>
      </c>
      <c r="D15" s="219">
        <v>2014</v>
      </c>
      <c r="E15" s="219" t="s">
        <v>336</v>
      </c>
      <c r="F15" s="219" t="s">
        <v>337</v>
      </c>
      <c r="G15" s="219" t="s">
        <v>317</v>
      </c>
      <c r="H15" s="165"/>
      <c r="I15" s="165"/>
      <c r="J15" s="165"/>
      <c r="K15" s="165"/>
      <c r="L15" s="165"/>
      <c r="M15" s="165"/>
      <c r="N15" s="165"/>
    </row>
    <row r="16" spans="2:14">
      <c r="B16" s="1154"/>
      <c r="C16" s="1161">
        <f>C3+C6</f>
        <v>757</v>
      </c>
      <c r="D16" s="209" t="s">
        <v>19</v>
      </c>
      <c r="E16" s="208">
        <f t="shared" ref="E16:G18" si="3">K3+K6</f>
        <v>11459.688117350399</v>
      </c>
      <c r="F16" s="208">
        <f t="shared" si="3"/>
        <v>3174.333608506061</v>
      </c>
      <c r="G16" s="208">
        <f t="shared" si="3"/>
        <v>786.24920173141084</v>
      </c>
      <c r="H16" s="165"/>
      <c r="I16" s="165"/>
      <c r="J16" s="165"/>
      <c r="K16" s="165"/>
      <c r="L16" s="165"/>
      <c r="M16" s="165"/>
      <c r="N16" s="165"/>
    </row>
    <row r="17" spans="2:13">
      <c r="B17" s="1154"/>
      <c r="C17" s="1159"/>
      <c r="D17" s="209" t="s">
        <v>339</v>
      </c>
      <c r="E17" s="208">
        <f t="shared" si="3"/>
        <v>25761.067566707203</v>
      </c>
      <c r="F17" s="208">
        <f t="shared" si="3"/>
        <v>7135.8157159778957</v>
      </c>
      <c r="G17" s="208">
        <f t="shared" si="3"/>
        <v>1889.0590846666394</v>
      </c>
      <c r="H17" s="165"/>
      <c r="I17" s="165"/>
      <c r="J17" s="165"/>
      <c r="K17" s="165"/>
    </row>
    <row r="18" spans="2:13">
      <c r="B18" s="1154"/>
      <c r="C18" s="1160"/>
      <c r="D18" s="209" t="s">
        <v>341</v>
      </c>
      <c r="E18" s="208">
        <f t="shared" si="3"/>
        <v>0</v>
      </c>
      <c r="F18" s="208">
        <f t="shared" si="3"/>
        <v>0</v>
      </c>
      <c r="G18" s="208">
        <f t="shared" si="3"/>
        <v>0</v>
      </c>
      <c r="H18" s="165"/>
      <c r="I18" s="165"/>
      <c r="J18" s="165"/>
      <c r="K18" s="165"/>
    </row>
    <row r="19" spans="2:13">
      <c r="B19" s="1162" t="s">
        <v>3</v>
      </c>
      <c r="C19" s="1163"/>
      <c r="D19" s="1164"/>
      <c r="E19" s="220">
        <f>SUM(E16:E18)</f>
        <v>37220.7556840576</v>
      </c>
      <c r="F19" s="220">
        <f>SUM(F16:F18)</f>
        <v>10310.149324483957</v>
      </c>
      <c r="G19" s="220">
        <f>SUM(G16:G18)</f>
        <v>2675.3082863980503</v>
      </c>
      <c r="H19" s="165"/>
      <c r="I19" s="165"/>
      <c r="J19" s="165"/>
      <c r="K19" s="165"/>
    </row>
    <row r="21" spans="2:13" ht="38.25">
      <c r="B21" s="219">
        <v>2020</v>
      </c>
      <c r="C21" s="219" t="s">
        <v>329</v>
      </c>
      <c r="D21" s="219" t="s">
        <v>330</v>
      </c>
      <c r="E21" s="219" t="s">
        <v>331</v>
      </c>
      <c r="F21" s="219" t="s">
        <v>332</v>
      </c>
      <c r="G21" s="219" t="s">
        <v>333</v>
      </c>
      <c r="H21" s="219" t="s">
        <v>334</v>
      </c>
      <c r="I21" s="219" t="s">
        <v>335</v>
      </c>
      <c r="J21" s="219" t="s">
        <v>13</v>
      </c>
      <c r="K21" s="219" t="s">
        <v>336</v>
      </c>
      <c r="L21" s="219" t="s">
        <v>337</v>
      </c>
      <c r="M21" s="219" t="s">
        <v>317</v>
      </c>
    </row>
    <row r="22" spans="2:13">
      <c r="B22" s="1165" t="str">
        <f>B3</f>
        <v>Samochody ciężarowe</v>
      </c>
      <c r="C22" s="1156">
        <f>D22+D23+D24</f>
        <v>699.67758186397987</v>
      </c>
      <c r="D22" s="210">
        <f>D3/Charakterystyka_2020!$L$9*Charakterystyka_2020!$AI$9</f>
        <v>202.59026028547439</v>
      </c>
      <c r="E22" s="209" t="s">
        <v>19</v>
      </c>
      <c r="F22" s="209">
        <v>0.72</v>
      </c>
      <c r="G22" s="209">
        <v>5000</v>
      </c>
      <c r="H22" s="209">
        <v>0.32100000000000001</v>
      </c>
      <c r="I22" s="209">
        <v>4.478E-2</v>
      </c>
      <c r="J22" s="209">
        <f>Wskaźniki!$C$18</f>
        <v>6.8610000000000004E-2</v>
      </c>
      <c r="K22" s="208">
        <f t="shared" ref="K22:K27" si="4">D22*F22*G22*H22*I22</f>
        <v>10483.593788312341</v>
      </c>
      <c r="L22" s="208">
        <f t="shared" ref="L22:L27" si="5">K22*$C$13</f>
        <v>2903.9554793625184</v>
      </c>
      <c r="M22" s="208">
        <f t="shared" ref="M22:M27" si="6">K22*J22</f>
        <v>719.27936981610969</v>
      </c>
    </row>
    <row r="23" spans="2:13">
      <c r="B23" s="1166"/>
      <c r="C23" s="1157"/>
      <c r="D23" s="210">
        <f>D4/Charakterystyka_2020!$L$9*Charakterystyka_2020!$AI$9</f>
        <v>497.08732157850551</v>
      </c>
      <c r="E23" s="209" t="s">
        <v>339</v>
      </c>
      <c r="F23" s="209">
        <v>0.82</v>
      </c>
      <c r="G23" s="209">
        <v>5000</v>
      </c>
      <c r="H23" s="209">
        <v>0.248</v>
      </c>
      <c r="I23" s="209">
        <v>4.333E-2</v>
      </c>
      <c r="J23" s="209">
        <f>Wskaźniki!$C$21</f>
        <v>7.3330000000000006E-2</v>
      </c>
      <c r="K23" s="208">
        <f t="shared" si="4"/>
        <v>21900.645377215787</v>
      </c>
      <c r="L23" s="208">
        <f t="shared" si="5"/>
        <v>6066.4787694887737</v>
      </c>
      <c r="M23" s="208">
        <f t="shared" si="6"/>
        <v>1605.9743255112339</v>
      </c>
    </row>
    <row r="24" spans="2:13">
      <c r="B24" s="1167"/>
      <c r="C24" s="1158"/>
      <c r="D24" s="210">
        <v>0</v>
      </c>
      <c r="E24" s="209" t="s">
        <v>341</v>
      </c>
      <c r="F24" s="209">
        <v>0.56200000000000006</v>
      </c>
      <c r="G24" s="209">
        <v>5000</v>
      </c>
      <c r="H24" s="209">
        <v>0.32100000000000001</v>
      </c>
      <c r="I24" s="209">
        <v>4.7309999999999998E-2</v>
      </c>
      <c r="J24" s="209">
        <f>Wskaźniki!$C$15</f>
        <v>6.2440000000000002E-2</v>
      </c>
      <c r="K24" s="208">
        <f t="shared" si="4"/>
        <v>0</v>
      </c>
      <c r="L24" s="208">
        <f t="shared" si="5"/>
        <v>0</v>
      </c>
      <c r="M24" s="208">
        <f t="shared" si="6"/>
        <v>0</v>
      </c>
    </row>
    <row r="25" spans="2:13">
      <c r="B25" s="1165" t="str">
        <f>B6</f>
        <v>Ciągniki samochodowe</v>
      </c>
      <c r="C25" s="1156">
        <f>D25+D26+D27</f>
        <v>47.435768261964739</v>
      </c>
      <c r="D25" s="210">
        <f>D6/Charakterystyka_2020!$L$9*Charakterystyka_2020!$AI$9</f>
        <v>13.835432409739715</v>
      </c>
      <c r="E25" s="209" t="s">
        <v>19</v>
      </c>
      <c r="F25" s="209">
        <v>0.72</v>
      </c>
      <c r="G25" s="209">
        <v>5876</v>
      </c>
      <c r="H25" s="209">
        <v>0.32100000000000001</v>
      </c>
      <c r="I25" s="209">
        <v>4.478E-2</v>
      </c>
      <c r="J25" s="209">
        <f>Wskaźniki!$C$18</f>
        <v>6.8610000000000004E-2</v>
      </c>
      <c r="K25" s="208">
        <f t="shared" si="4"/>
        <v>841.38766770900156</v>
      </c>
      <c r="L25" s="208">
        <f t="shared" si="5"/>
        <v>233.06438395539345</v>
      </c>
      <c r="M25" s="208">
        <f t="shared" si="6"/>
        <v>57.727607881514601</v>
      </c>
    </row>
    <row r="26" spans="2:13">
      <c r="B26" s="1166"/>
      <c r="C26" s="1157"/>
      <c r="D26" s="210">
        <f>D7/Charakterystyka_2020!$L$9*Charakterystyka_2020!$AI$9</f>
        <v>33.600335852225022</v>
      </c>
      <c r="E26" s="209" t="s">
        <v>339</v>
      </c>
      <c r="F26" s="209">
        <v>0.82</v>
      </c>
      <c r="G26" s="209">
        <v>12016</v>
      </c>
      <c r="H26" s="209">
        <v>0.248</v>
      </c>
      <c r="I26" s="209">
        <v>4.333E-2</v>
      </c>
      <c r="J26" s="209">
        <f>Wskaźniki!$C$21</f>
        <v>7.3330000000000006E-2</v>
      </c>
      <c r="K26" s="208">
        <f t="shared" si="4"/>
        <v>3557.6052743496002</v>
      </c>
      <c r="L26" s="208">
        <f t="shared" si="5"/>
        <v>985.45666099483935</v>
      </c>
      <c r="M26" s="208">
        <f t="shared" si="6"/>
        <v>260.87919476805621</v>
      </c>
    </row>
    <row r="27" spans="2:13">
      <c r="B27" s="1167"/>
      <c r="C27" s="1158"/>
      <c r="D27" s="210">
        <v>0</v>
      </c>
      <c r="E27" s="209" t="s">
        <v>341</v>
      </c>
      <c r="F27" s="209">
        <v>0.56200000000000006</v>
      </c>
      <c r="G27" s="209">
        <v>10093</v>
      </c>
      <c r="H27" s="209">
        <v>0.32100000000000001</v>
      </c>
      <c r="I27" s="209">
        <v>4.7309999999999998E-2</v>
      </c>
      <c r="J27" s="209">
        <f>Wskaźniki!$C$15</f>
        <v>6.2440000000000002E-2</v>
      </c>
      <c r="K27" s="208">
        <f t="shared" si="4"/>
        <v>0</v>
      </c>
      <c r="L27" s="208">
        <f t="shared" si="5"/>
        <v>0</v>
      </c>
      <c r="M27" s="208">
        <f t="shared" si="6"/>
        <v>0</v>
      </c>
    </row>
    <row r="28" spans="2:13">
      <c r="B28" s="1162" t="s">
        <v>3</v>
      </c>
      <c r="C28" s="1163"/>
      <c r="D28" s="1163"/>
      <c r="E28" s="1163"/>
      <c r="F28" s="1163"/>
      <c r="G28" s="1163"/>
      <c r="H28" s="1163"/>
      <c r="I28" s="1163"/>
      <c r="J28" s="1164"/>
      <c r="K28" s="220">
        <f>SUM(K22:K27)</f>
        <v>36783.232107586737</v>
      </c>
      <c r="L28" s="220">
        <f>SUM(L22:L27)</f>
        <v>10188.955293801526</v>
      </c>
      <c r="M28" s="220">
        <f>SUM(M22:M27)</f>
        <v>2643.8604979769148</v>
      </c>
    </row>
    <row r="30" spans="2:13" ht="25.5">
      <c r="B30" s="1154" t="s">
        <v>349</v>
      </c>
      <c r="C30" s="219" t="s">
        <v>329</v>
      </c>
      <c r="D30" s="219">
        <v>2020</v>
      </c>
      <c r="E30" s="219" t="s">
        <v>336</v>
      </c>
      <c r="F30" s="219" t="s">
        <v>337</v>
      </c>
      <c r="G30" s="219" t="s">
        <v>317</v>
      </c>
      <c r="H30" s="165"/>
      <c r="I30" s="165"/>
      <c r="J30" s="165"/>
      <c r="K30" s="165"/>
    </row>
    <row r="31" spans="2:13">
      <c r="B31" s="1154"/>
      <c r="C31" s="1156">
        <f>C22+C25</f>
        <v>747.11335012594463</v>
      </c>
      <c r="D31" s="209" t="s">
        <v>19</v>
      </c>
      <c r="E31" s="208">
        <f t="shared" ref="E31:G33" si="7">K22+K25</f>
        <v>11324.981456021342</v>
      </c>
      <c r="F31" s="208">
        <f t="shared" si="7"/>
        <v>3137.019863317912</v>
      </c>
      <c r="G31" s="208">
        <f t="shared" si="7"/>
        <v>777.00697769762428</v>
      </c>
      <c r="H31" s="165"/>
      <c r="I31" s="165"/>
      <c r="J31" s="165"/>
      <c r="K31" s="165"/>
    </row>
    <row r="32" spans="2:13">
      <c r="B32" s="1154"/>
      <c r="C32" s="1159"/>
      <c r="D32" s="209" t="s">
        <v>339</v>
      </c>
      <c r="E32" s="208">
        <f t="shared" si="7"/>
        <v>25458.250651565388</v>
      </c>
      <c r="F32" s="208">
        <f t="shared" si="7"/>
        <v>7051.9354304836133</v>
      </c>
      <c r="G32" s="208">
        <f t="shared" si="7"/>
        <v>1866.85352027929</v>
      </c>
      <c r="H32" s="165"/>
      <c r="I32" s="165"/>
      <c r="J32" s="165"/>
      <c r="K32" s="165"/>
    </row>
    <row r="33" spans="2:7">
      <c r="B33" s="1154"/>
      <c r="C33" s="1160"/>
      <c r="D33" s="209" t="s">
        <v>341</v>
      </c>
      <c r="E33" s="208">
        <f t="shared" si="7"/>
        <v>0</v>
      </c>
      <c r="F33" s="208">
        <f t="shared" si="7"/>
        <v>0</v>
      </c>
      <c r="G33" s="208">
        <f t="shared" si="7"/>
        <v>0</v>
      </c>
    </row>
    <row r="34" spans="2:7">
      <c r="B34" s="1154" t="s">
        <v>3</v>
      </c>
      <c r="C34" s="1154"/>
      <c r="D34" s="1154"/>
      <c r="E34" s="220">
        <f>SUM(E31:E33)</f>
        <v>36783.232107586729</v>
      </c>
      <c r="F34" s="220">
        <f>SUM(F31:F33)</f>
        <v>10188.955293801526</v>
      </c>
      <c r="G34" s="220">
        <f>SUM(G31:G33)</f>
        <v>2643.8604979769143</v>
      </c>
    </row>
  </sheetData>
  <mergeCells count="17">
    <mergeCell ref="B9:J9"/>
    <mergeCell ref="B3:B5"/>
    <mergeCell ref="C3:C5"/>
    <mergeCell ref="B6:B8"/>
    <mergeCell ref="C6:C8"/>
    <mergeCell ref="B34:D34"/>
    <mergeCell ref="B11:D11"/>
    <mergeCell ref="B15:B18"/>
    <mergeCell ref="C16:C18"/>
    <mergeCell ref="B19:D19"/>
    <mergeCell ref="B22:B24"/>
    <mergeCell ref="C22:C24"/>
    <mergeCell ref="B25:B27"/>
    <mergeCell ref="C25:C27"/>
    <mergeCell ref="B28:J28"/>
    <mergeCell ref="B30:B33"/>
    <mergeCell ref="C31:C3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2:N49"/>
  <sheetViews>
    <sheetView showGridLines="0" topLeftCell="A37" zoomScale="90" zoomScaleNormal="90" workbookViewId="0">
      <selection activeCell="L37" sqref="L37:M42"/>
    </sheetView>
  </sheetViews>
  <sheetFormatPr defaultColWidth="10.875" defaultRowHeight="15"/>
  <cols>
    <col min="1" max="1" width="6.25" style="113" customWidth="1"/>
    <col min="2" max="13" width="10.875" style="113"/>
    <col min="14" max="14" width="5.375" style="113" customWidth="1"/>
    <col min="15" max="16384" width="10.875" style="113"/>
  </cols>
  <sheetData>
    <row r="2" spans="2:14" ht="38.25">
      <c r="B2" s="219">
        <v>2014</v>
      </c>
      <c r="C2" s="219" t="s">
        <v>329</v>
      </c>
      <c r="D2" s="219" t="s">
        <v>330</v>
      </c>
      <c r="E2" s="219" t="s">
        <v>331</v>
      </c>
      <c r="F2" s="219" t="s">
        <v>332</v>
      </c>
      <c r="G2" s="219" t="s">
        <v>333</v>
      </c>
      <c r="H2" s="219" t="s">
        <v>334</v>
      </c>
      <c r="I2" s="219" t="s">
        <v>335</v>
      </c>
      <c r="J2" s="219" t="s">
        <v>13</v>
      </c>
      <c r="K2" s="219" t="s">
        <v>336</v>
      </c>
      <c r="L2" s="219" t="s">
        <v>337</v>
      </c>
      <c r="M2" s="219" t="s">
        <v>317</v>
      </c>
      <c r="N2" s="165"/>
    </row>
    <row r="3" spans="2:14">
      <c r="B3" s="1154" t="s">
        <v>18</v>
      </c>
      <c r="C3" s="1161">
        <v>708</v>
      </c>
      <c r="D3" s="210">
        <v>205</v>
      </c>
      <c r="E3" s="209" t="s">
        <v>19</v>
      </c>
      <c r="F3" s="209">
        <v>0.72</v>
      </c>
      <c r="G3" s="209">
        <v>5000</v>
      </c>
      <c r="H3" s="209">
        <v>0.32100000000000001</v>
      </c>
      <c r="I3" s="209">
        <v>4.478E-2</v>
      </c>
      <c r="J3" s="209">
        <f>Wskaźniki!$C$18</f>
        <v>6.8610000000000004E-2</v>
      </c>
      <c r="K3" s="208">
        <f t="shared" ref="K3:K8" si="0">D3*F3*G3*H3*I3</f>
        <v>10608.292439999999</v>
      </c>
      <c r="L3" s="208">
        <f t="shared" ref="L3:L8" si="1">K3*$C$13</f>
        <v>2938.49700588</v>
      </c>
      <c r="M3" s="208">
        <f t="shared" ref="M3:M8" si="2">K3*J3</f>
        <v>727.83494430839994</v>
      </c>
      <c r="N3" s="165"/>
    </row>
    <row r="4" spans="2:14">
      <c r="B4" s="1154"/>
      <c r="C4" s="1159"/>
      <c r="D4" s="210">
        <v>503</v>
      </c>
      <c r="E4" s="209" t="s">
        <v>339</v>
      </c>
      <c r="F4" s="209">
        <v>0.82</v>
      </c>
      <c r="G4" s="209">
        <v>5000</v>
      </c>
      <c r="H4" s="209">
        <v>0.248</v>
      </c>
      <c r="I4" s="209">
        <v>4.333E-2</v>
      </c>
      <c r="J4" s="209">
        <f>Wskaźniki!$C$21</f>
        <v>7.3330000000000006E-2</v>
      </c>
      <c r="K4" s="208">
        <f t="shared" si="0"/>
        <v>22161.145832000002</v>
      </c>
      <c r="L4" s="208">
        <f t="shared" si="1"/>
        <v>6138.6373954640012</v>
      </c>
      <c r="M4" s="208">
        <f t="shared" si="2"/>
        <v>1625.0768238605604</v>
      </c>
      <c r="N4" s="165"/>
    </row>
    <row r="5" spans="2:14">
      <c r="B5" s="1154"/>
      <c r="C5" s="1160"/>
      <c r="D5" s="210">
        <v>0</v>
      </c>
      <c r="E5" s="209" t="s">
        <v>341</v>
      </c>
      <c r="F5" s="209">
        <v>0.56200000000000006</v>
      </c>
      <c r="G5" s="209">
        <v>5000</v>
      </c>
      <c r="H5" s="209">
        <v>0.32100000000000001</v>
      </c>
      <c r="I5" s="209">
        <v>4.7309999999999998E-2</v>
      </c>
      <c r="J5" s="209">
        <f>Wskaźniki!$C$15</f>
        <v>6.2440000000000002E-2</v>
      </c>
      <c r="K5" s="208">
        <f t="shared" si="0"/>
        <v>0</v>
      </c>
      <c r="L5" s="208">
        <f t="shared" si="1"/>
        <v>0</v>
      </c>
      <c r="M5" s="208">
        <f t="shared" si="2"/>
        <v>0</v>
      </c>
      <c r="N5" s="165"/>
    </row>
    <row r="6" spans="2:14">
      <c r="B6" s="1154" t="s">
        <v>21</v>
      </c>
      <c r="C6" s="1161">
        <v>49</v>
      </c>
      <c r="D6" s="210">
        <v>14</v>
      </c>
      <c r="E6" s="209" t="s">
        <v>19</v>
      </c>
      <c r="F6" s="209">
        <v>0.72</v>
      </c>
      <c r="G6" s="209">
        <v>5876</v>
      </c>
      <c r="H6" s="209">
        <v>0.32100000000000001</v>
      </c>
      <c r="I6" s="209">
        <v>4.478E-2</v>
      </c>
      <c r="J6" s="209">
        <f>Wskaźniki!$C$18</f>
        <v>6.8610000000000004E-2</v>
      </c>
      <c r="K6" s="208">
        <f t="shared" si="0"/>
        <v>851.39567735039998</v>
      </c>
      <c r="L6" s="208">
        <f t="shared" si="1"/>
        <v>235.83660262606082</v>
      </c>
      <c r="M6" s="208">
        <f t="shared" si="2"/>
        <v>58.414257423010945</v>
      </c>
      <c r="N6" s="165"/>
    </row>
    <row r="7" spans="2:14">
      <c r="B7" s="1154"/>
      <c r="C7" s="1159"/>
      <c r="D7" s="210">
        <v>34</v>
      </c>
      <c r="E7" s="209" t="s">
        <v>339</v>
      </c>
      <c r="F7" s="209">
        <v>0.82</v>
      </c>
      <c r="G7" s="209">
        <v>12016</v>
      </c>
      <c r="H7" s="209">
        <v>0.248</v>
      </c>
      <c r="I7" s="209">
        <v>4.333E-2</v>
      </c>
      <c r="J7" s="209">
        <f>Wskaźniki!$C$21</f>
        <v>7.3330000000000006E-2</v>
      </c>
      <c r="K7" s="208">
        <f t="shared" si="0"/>
        <v>3599.9217347072004</v>
      </c>
      <c r="L7" s="208">
        <f t="shared" si="1"/>
        <v>997.17832051389462</v>
      </c>
      <c r="M7" s="208">
        <f t="shared" si="2"/>
        <v>263.98226080607901</v>
      </c>
      <c r="N7" s="165"/>
    </row>
    <row r="8" spans="2:14">
      <c r="B8" s="1154"/>
      <c r="C8" s="1160"/>
      <c r="D8" s="210">
        <v>0</v>
      </c>
      <c r="E8" s="209" t="s">
        <v>341</v>
      </c>
      <c r="F8" s="209">
        <v>0.56200000000000006</v>
      </c>
      <c r="G8" s="209">
        <v>10093</v>
      </c>
      <c r="H8" s="209">
        <v>0.32100000000000001</v>
      </c>
      <c r="I8" s="209">
        <v>4.7309999999999998E-2</v>
      </c>
      <c r="J8" s="209">
        <f>Wskaźniki!$C$15</f>
        <v>6.2440000000000002E-2</v>
      </c>
      <c r="K8" s="208">
        <f t="shared" si="0"/>
        <v>0</v>
      </c>
      <c r="L8" s="208">
        <f t="shared" si="1"/>
        <v>0</v>
      </c>
      <c r="M8" s="208">
        <f t="shared" si="2"/>
        <v>0</v>
      </c>
      <c r="N8" s="165"/>
    </row>
    <row r="9" spans="2:14">
      <c r="B9" s="1154" t="s">
        <v>3</v>
      </c>
      <c r="C9" s="1154"/>
      <c r="D9" s="1154"/>
      <c r="E9" s="1154"/>
      <c r="F9" s="1154"/>
      <c r="G9" s="1154"/>
      <c r="H9" s="1154"/>
      <c r="I9" s="1154"/>
      <c r="J9" s="1154"/>
      <c r="K9" s="220">
        <f>SUM(K3:K8)</f>
        <v>37220.7556840576</v>
      </c>
      <c r="L9" s="220">
        <f>SUM(L3:L8)</f>
        <v>10310.149324483957</v>
      </c>
      <c r="M9" s="220">
        <f>SUM(M3:M8)</f>
        <v>2675.3082863980503</v>
      </c>
      <c r="N9" s="165"/>
    </row>
    <row r="10" spans="2:14">
      <c r="B10" s="165"/>
      <c r="C10" s="165"/>
      <c r="D10" s="212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2:14">
      <c r="B11" s="1155" t="s">
        <v>211</v>
      </c>
      <c r="C11" s="1155"/>
      <c r="D11" s="1155"/>
      <c r="E11" s="211"/>
      <c r="F11" s="216"/>
      <c r="G11" s="165"/>
      <c r="H11" s="165"/>
      <c r="I11" s="165"/>
      <c r="J11" s="165"/>
      <c r="K11" s="165"/>
      <c r="L11" s="165"/>
      <c r="M11" s="165"/>
      <c r="N11" s="165"/>
    </row>
    <row r="12" spans="2:14">
      <c r="B12" s="213" t="s">
        <v>212</v>
      </c>
      <c r="C12" s="214">
        <v>3.6</v>
      </c>
      <c r="D12" s="214" t="s">
        <v>207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2:14">
      <c r="B13" s="215" t="s">
        <v>213</v>
      </c>
      <c r="C13" s="214">
        <v>0.27700000000000002</v>
      </c>
      <c r="D13" s="214" t="s">
        <v>214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5" spans="2:14" ht="25.5">
      <c r="B15" s="1154" t="s">
        <v>349</v>
      </c>
      <c r="C15" s="219" t="s">
        <v>329</v>
      </c>
      <c r="D15" s="219">
        <v>2014</v>
      </c>
      <c r="E15" s="219" t="s">
        <v>336</v>
      </c>
      <c r="F15" s="219" t="s">
        <v>337</v>
      </c>
      <c r="G15" s="219" t="s">
        <v>317</v>
      </c>
      <c r="H15" s="165"/>
      <c r="I15" s="165"/>
      <c r="J15" s="165"/>
      <c r="K15" s="165"/>
      <c r="L15" s="165"/>
      <c r="M15" s="165"/>
      <c r="N15" s="165"/>
    </row>
    <row r="16" spans="2:14">
      <c r="B16" s="1154"/>
      <c r="C16" s="1161">
        <f>C3+C6</f>
        <v>757</v>
      </c>
      <c r="D16" s="209" t="s">
        <v>19</v>
      </c>
      <c r="E16" s="208">
        <f t="shared" ref="E16:G18" si="3">K3+K6</f>
        <v>11459.688117350399</v>
      </c>
      <c r="F16" s="208">
        <f t="shared" si="3"/>
        <v>3174.333608506061</v>
      </c>
      <c r="G16" s="208">
        <f t="shared" si="3"/>
        <v>786.24920173141084</v>
      </c>
      <c r="H16" s="165"/>
      <c r="I16" s="165"/>
      <c r="J16" s="165"/>
      <c r="K16" s="165"/>
      <c r="L16" s="165"/>
      <c r="M16" s="165"/>
      <c r="N16" s="165"/>
    </row>
    <row r="17" spans="2:13">
      <c r="B17" s="1154"/>
      <c r="C17" s="1159"/>
      <c r="D17" s="209" t="s">
        <v>339</v>
      </c>
      <c r="E17" s="208">
        <f t="shared" si="3"/>
        <v>25761.067566707203</v>
      </c>
      <c r="F17" s="208">
        <f t="shared" si="3"/>
        <v>7135.8157159778957</v>
      </c>
      <c r="G17" s="208">
        <f t="shared" si="3"/>
        <v>1889.0590846666394</v>
      </c>
      <c r="H17" s="165"/>
      <c r="I17" s="165"/>
      <c r="J17" s="165"/>
      <c r="K17" s="165"/>
    </row>
    <row r="18" spans="2:13">
      <c r="B18" s="1154"/>
      <c r="C18" s="1160"/>
      <c r="D18" s="209" t="s">
        <v>341</v>
      </c>
      <c r="E18" s="208">
        <f t="shared" si="3"/>
        <v>0</v>
      </c>
      <c r="F18" s="208">
        <f t="shared" si="3"/>
        <v>0</v>
      </c>
      <c r="G18" s="208">
        <f t="shared" si="3"/>
        <v>0</v>
      </c>
      <c r="H18" s="165"/>
      <c r="I18" s="165"/>
      <c r="J18" s="165"/>
      <c r="K18" s="165"/>
    </row>
    <row r="19" spans="2:13">
      <c r="B19" s="1162" t="s">
        <v>3</v>
      </c>
      <c r="C19" s="1163"/>
      <c r="D19" s="1164"/>
      <c r="E19" s="220">
        <f>SUM(E16:E18)</f>
        <v>37220.7556840576</v>
      </c>
      <c r="F19" s="220">
        <f>SUM(F16:F18)</f>
        <v>10310.149324483957</v>
      </c>
      <c r="G19" s="220">
        <f>SUM(G16:G18)</f>
        <v>2675.3082863980503</v>
      </c>
      <c r="H19" s="165"/>
      <c r="I19" s="165"/>
      <c r="J19" s="165"/>
      <c r="K19" s="165"/>
    </row>
    <row r="21" spans="2:13" ht="38.25">
      <c r="B21" s="219">
        <v>2024</v>
      </c>
      <c r="C21" s="219" t="s">
        <v>329</v>
      </c>
      <c r="D21" s="219" t="s">
        <v>330</v>
      </c>
      <c r="E21" s="219" t="s">
        <v>331</v>
      </c>
      <c r="F21" s="219" t="s">
        <v>332</v>
      </c>
      <c r="G21" s="219" t="s">
        <v>333</v>
      </c>
      <c r="H21" s="219" t="s">
        <v>334</v>
      </c>
      <c r="I21" s="219" t="s">
        <v>335</v>
      </c>
      <c r="J21" s="219" t="s">
        <v>13</v>
      </c>
      <c r="K21" s="219" t="s">
        <v>336</v>
      </c>
      <c r="L21" s="219" t="s">
        <v>337</v>
      </c>
      <c r="M21" s="219" t="s">
        <v>317</v>
      </c>
    </row>
    <row r="22" spans="2:13">
      <c r="B22" s="1165" t="str">
        <f>B3</f>
        <v>Samochody ciężarowe</v>
      </c>
      <c r="C22" s="1156">
        <f>D22+D23+D24</f>
        <v>984</v>
      </c>
      <c r="D22" s="210">
        <v>259</v>
      </c>
      <c r="E22" s="209" t="s">
        <v>19</v>
      </c>
      <c r="F22" s="209">
        <v>0.72</v>
      </c>
      <c r="G22" s="209">
        <v>5000</v>
      </c>
      <c r="H22" s="209">
        <v>0.32100000000000001</v>
      </c>
      <c r="I22" s="209">
        <v>4.478E-2</v>
      </c>
      <c r="J22" s="209">
        <f>Wskaźniki!$C$18</f>
        <v>6.8610000000000004E-2</v>
      </c>
      <c r="K22" s="208">
        <f t="shared" ref="K22:K27" si="4">D22*F22*G22*H22*I22</f>
        <v>13402.671912000002</v>
      </c>
      <c r="L22" s="208">
        <f t="shared" ref="L22:L27" si="5">K22*$C$13</f>
        <v>3712.5401196240009</v>
      </c>
      <c r="M22" s="208">
        <f t="shared" ref="M22:M27" si="6">K22*J22</f>
        <v>919.55731988232014</v>
      </c>
    </row>
    <row r="23" spans="2:13">
      <c r="B23" s="1166"/>
      <c r="C23" s="1157"/>
      <c r="D23" s="210">
        <v>686</v>
      </c>
      <c r="E23" s="209" t="s">
        <v>339</v>
      </c>
      <c r="F23" s="209">
        <v>0.82</v>
      </c>
      <c r="G23" s="209">
        <v>5000</v>
      </c>
      <c r="H23" s="209">
        <v>0.248</v>
      </c>
      <c r="I23" s="209">
        <v>4.333E-2</v>
      </c>
      <c r="J23" s="209">
        <f>Wskaźniki!$C$21</f>
        <v>7.3330000000000006E-2</v>
      </c>
      <c r="K23" s="208">
        <f t="shared" si="4"/>
        <v>30223.749584000001</v>
      </c>
      <c r="L23" s="208">
        <f t="shared" si="5"/>
        <v>8371.9786347680001</v>
      </c>
      <c r="M23" s="208">
        <f t="shared" si="6"/>
        <v>2216.3075569947205</v>
      </c>
    </row>
    <row r="24" spans="2:13">
      <c r="B24" s="1167"/>
      <c r="C24" s="1158"/>
      <c r="D24" s="210">
        <v>39</v>
      </c>
      <c r="E24" s="209" t="s">
        <v>341</v>
      </c>
      <c r="F24" s="209">
        <v>0.56200000000000006</v>
      </c>
      <c r="G24" s="209">
        <v>5000</v>
      </c>
      <c r="H24" s="209">
        <v>0.32100000000000001</v>
      </c>
      <c r="I24" s="209">
        <v>4.7309999999999998E-2</v>
      </c>
      <c r="J24" s="209">
        <f>Wskaźniki!$C$15</f>
        <v>6.2440000000000002E-2</v>
      </c>
      <c r="K24" s="208">
        <f t="shared" si="4"/>
        <v>1664.2896309000002</v>
      </c>
      <c r="L24" s="208">
        <f t="shared" si="5"/>
        <v>461.0082277593001</v>
      </c>
      <c r="M24" s="208">
        <f t="shared" si="6"/>
        <v>103.91824455339602</v>
      </c>
    </row>
    <row r="25" spans="2:13">
      <c r="B25" s="1165" t="str">
        <f>B6</f>
        <v>Ciągniki samochodowe</v>
      </c>
      <c r="C25" s="1156">
        <f>D25+D26+D27</f>
        <v>57</v>
      </c>
      <c r="D25" s="210">
        <v>17</v>
      </c>
      <c r="E25" s="209" t="s">
        <v>19</v>
      </c>
      <c r="F25" s="209">
        <v>0.72</v>
      </c>
      <c r="G25" s="209">
        <v>5876</v>
      </c>
      <c r="H25" s="209">
        <v>0.32100000000000001</v>
      </c>
      <c r="I25" s="209">
        <v>4.478E-2</v>
      </c>
      <c r="J25" s="209">
        <f>Wskaźniki!$C$18</f>
        <v>6.8610000000000004E-2</v>
      </c>
      <c r="K25" s="208">
        <f t="shared" si="4"/>
        <v>1033.8376082112002</v>
      </c>
      <c r="L25" s="208">
        <f t="shared" si="5"/>
        <v>286.37301747450249</v>
      </c>
      <c r="M25" s="208">
        <f t="shared" si="6"/>
        <v>70.931598299370449</v>
      </c>
    </row>
    <row r="26" spans="2:13">
      <c r="B26" s="1166"/>
      <c r="C26" s="1157"/>
      <c r="D26" s="210">
        <v>40</v>
      </c>
      <c r="E26" s="209" t="s">
        <v>339</v>
      </c>
      <c r="F26" s="209">
        <v>0.82</v>
      </c>
      <c r="G26" s="209">
        <v>12016</v>
      </c>
      <c r="H26" s="209">
        <v>0.248</v>
      </c>
      <c r="I26" s="209">
        <v>4.333E-2</v>
      </c>
      <c r="J26" s="209">
        <f>Wskaźniki!$C$21</f>
        <v>7.3330000000000006E-2</v>
      </c>
      <c r="K26" s="208">
        <f t="shared" si="4"/>
        <v>4235.2020408320004</v>
      </c>
      <c r="L26" s="208">
        <f t="shared" si="5"/>
        <v>1173.1509653104642</v>
      </c>
      <c r="M26" s="208">
        <f t="shared" si="6"/>
        <v>310.56736565421062</v>
      </c>
    </row>
    <row r="27" spans="2:13">
      <c r="B27" s="1167"/>
      <c r="C27" s="1158"/>
      <c r="D27" s="210">
        <v>0</v>
      </c>
      <c r="E27" s="209" t="s">
        <v>341</v>
      </c>
      <c r="F27" s="209">
        <v>0.56200000000000006</v>
      </c>
      <c r="G27" s="209">
        <v>10093</v>
      </c>
      <c r="H27" s="209">
        <v>0.32100000000000001</v>
      </c>
      <c r="I27" s="209">
        <v>4.7309999999999998E-2</v>
      </c>
      <c r="J27" s="209">
        <f>Wskaźniki!$C$15</f>
        <v>6.2440000000000002E-2</v>
      </c>
      <c r="K27" s="208">
        <f t="shared" si="4"/>
        <v>0</v>
      </c>
      <c r="L27" s="208">
        <f t="shared" si="5"/>
        <v>0</v>
      </c>
      <c r="M27" s="208">
        <f t="shared" si="6"/>
        <v>0</v>
      </c>
    </row>
    <row r="28" spans="2:13">
      <c r="B28" s="1162" t="s">
        <v>3</v>
      </c>
      <c r="C28" s="1163"/>
      <c r="D28" s="1163"/>
      <c r="E28" s="1163"/>
      <c r="F28" s="1163"/>
      <c r="G28" s="1163"/>
      <c r="H28" s="1163"/>
      <c r="I28" s="1163"/>
      <c r="J28" s="1164"/>
      <c r="K28" s="220">
        <f>SUM(K22:K27)</f>
        <v>50559.750775943205</v>
      </c>
      <c r="L28" s="220">
        <f>SUM(L22:L27)</f>
        <v>14005.050964936267</v>
      </c>
      <c r="M28" s="220">
        <f>SUM(M22:M27)</f>
        <v>3621.282085384018</v>
      </c>
    </row>
    <row r="30" spans="2:13" ht="25.5">
      <c r="B30" s="1154" t="s">
        <v>349</v>
      </c>
      <c r="C30" s="219" t="s">
        <v>329</v>
      </c>
      <c r="D30" s="219">
        <v>2024</v>
      </c>
      <c r="E30" s="219" t="s">
        <v>336</v>
      </c>
      <c r="F30" s="219" t="s">
        <v>337</v>
      </c>
      <c r="G30" s="219" t="s">
        <v>317</v>
      </c>
      <c r="H30" s="165"/>
      <c r="I30" s="165"/>
      <c r="J30" s="165"/>
      <c r="K30" s="165"/>
    </row>
    <row r="31" spans="2:13">
      <c r="B31" s="1154"/>
      <c r="C31" s="1156">
        <f>C22+C25</f>
        <v>1041</v>
      </c>
      <c r="D31" s="209" t="s">
        <v>19</v>
      </c>
      <c r="E31" s="208">
        <f t="shared" ref="E31:G33" si="7">K22+K25</f>
        <v>14436.509520211202</v>
      </c>
      <c r="F31" s="208">
        <f t="shared" si="7"/>
        <v>3998.9131370985033</v>
      </c>
      <c r="G31" s="208">
        <f t="shared" si="7"/>
        <v>990.48891818169056</v>
      </c>
      <c r="H31" s="165"/>
      <c r="I31" s="165"/>
      <c r="J31" s="165"/>
      <c r="K31" s="165"/>
    </row>
    <row r="32" spans="2:13">
      <c r="B32" s="1154"/>
      <c r="C32" s="1159"/>
      <c r="D32" s="209" t="s">
        <v>339</v>
      </c>
      <c r="E32" s="208">
        <f t="shared" si="7"/>
        <v>34458.951624832</v>
      </c>
      <c r="F32" s="208">
        <f t="shared" si="7"/>
        <v>9545.1296000784641</v>
      </c>
      <c r="G32" s="208">
        <f t="shared" si="7"/>
        <v>2526.8749226489313</v>
      </c>
      <c r="H32" s="165"/>
      <c r="I32" s="165"/>
      <c r="J32" s="165"/>
      <c r="K32" s="165"/>
    </row>
    <row r="33" spans="2:13">
      <c r="B33" s="1154"/>
      <c r="C33" s="1160"/>
      <c r="D33" s="209" t="s">
        <v>341</v>
      </c>
      <c r="E33" s="208">
        <f t="shared" si="7"/>
        <v>1664.2896309000002</v>
      </c>
      <c r="F33" s="208">
        <f t="shared" si="7"/>
        <v>461.0082277593001</v>
      </c>
      <c r="G33" s="208">
        <f t="shared" si="7"/>
        <v>103.91824455339602</v>
      </c>
    </row>
    <row r="34" spans="2:13">
      <c r="B34" s="1154" t="s">
        <v>3</v>
      </c>
      <c r="C34" s="1154"/>
      <c r="D34" s="1154"/>
      <c r="E34" s="220">
        <f>SUM(E31:E33)</f>
        <v>50559.750775943197</v>
      </c>
      <c r="F34" s="220">
        <f>SUM(F31:F33)</f>
        <v>14005.050964936268</v>
      </c>
      <c r="G34" s="220">
        <f>SUM(G31:G33)</f>
        <v>3621.282085384018</v>
      </c>
    </row>
    <row r="36" spans="2:13" ht="38.25">
      <c r="B36" s="219">
        <v>2028</v>
      </c>
      <c r="C36" s="219" t="s">
        <v>329</v>
      </c>
      <c r="D36" s="219" t="s">
        <v>330</v>
      </c>
      <c r="E36" s="219" t="s">
        <v>331</v>
      </c>
      <c r="F36" s="219" t="s">
        <v>332</v>
      </c>
      <c r="G36" s="219" t="s">
        <v>333</v>
      </c>
      <c r="H36" s="219" t="s">
        <v>334</v>
      </c>
      <c r="I36" s="219" t="s">
        <v>335</v>
      </c>
      <c r="J36" s="219" t="s">
        <v>13</v>
      </c>
      <c r="K36" s="219" t="s">
        <v>336</v>
      </c>
      <c r="L36" s="219" t="s">
        <v>337</v>
      </c>
      <c r="M36" s="219" t="s">
        <v>317</v>
      </c>
    </row>
    <row r="37" spans="2:13">
      <c r="B37" s="1165" t="str">
        <f>B3</f>
        <v>Samochody ciężarowe</v>
      </c>
      <c r="C37" s="1156">
        <f>D37+D38+D39</f>
        <v>867.50629722921906</v>
      </c>
      <c r="D37" s="210">
        <f>D22/Charakterystyka_2020!$L$9*Charakterystyka_2028!AI9</f>
        <v>228.33753148614608</v>
      </c>
      <c r="E37" s="209" t="s">
        <v>19</v>
      </c>
      <c r="F37" s="209">
        <v>0.72</v>
      </c>
      <c r="G37" s="209">
        <v>5000</v>
      </c>
      <c r="H37" s="209">
        <v>0.32100000000000001</v>
      </c>
      <c r="I37" s="209">
        <v>4.478E-2</v>
      </c>
      <c r="J37" s="209">
        <f>Wskaźniki!$C$18</f>
        <v>6.8610000000000004E-2</v>
      </c>
      <c r="K37" s="208">
        <f t="shared" ref="K37:K42" si="8">D37*F37*G37*H37*I37</f>
        <v>11815.957605037782</v>
      </c>
      <c r="L37" s="208">
        <f t="shared" ref="L37:L42" si="9">K37*$C$13</f>
        <v>3273.020256595466</v>
      </c>
      <c r="M37" s="208">
        <f t="shared" ref="M37:M42" si="10">K37*J37</f>
        <v>810.69285128164222</v>
      </c>
    </row>
    <row r="38" spans="2:13">
      <c r="B38" s="1166"/>
      <c r="C38" s="1157"/>
      <c r="D38" s="210">
        <f>D23/Charakterystyka_2020!$L$9*Charakterystyka_2028!AI9</f>
        <v>604.78589420654907</v>
      </c>
      <c r="E38" s="209" t="s">
        <v>339</v>
      </c>
      <c r="F38" s="209">
        <v>0.82</v>
      </c>
      <c r="G38" s="209">
        <v>5000</v>
      </c>
      <c r="H38" s="209">
        <v>0.248</v>
      </c>
      <c r="I38" s="209">
        <v>4.333E-2</v>
      </c>
      <c r="J38" s="209">
        <f>Wskaźniki!$C$21</f>
        <v>7.3330000000000006E-2</v>
      </c>
      <c r="K38" s="208">
        <f t="shared" si="8"/>
        <v>26645.623058942059</v>
      </c>
      <c r="L38" s="208">
        <f t="shared" si="9"/>
        <v>7380.8375873269515</v>
      </c>
      <c r="M38" s="208">
        <f t="shared" si="10"/>
        <v>1953.9235389122214</v>
      </c>
    </row>
    <row r="39" spans="2:13">
      <c r="B39" s="1167"/>
      <c r="C39" s="1158"/>
      <c r="D39" s="210">
        <f>D24/Charakterystyka_2020!$L$9*Charakterystyka_2028!AI9</f>
        <v>34.382871536523929</v>
      </c>
      <c r="E39" s="209" t="s">
        <v>341</v>
      </c>
      <c r="F39" s="209">
        <v>0.56200000000000006</v>
      </c>
      <c r="G39" s="209">
        <v>5000</v>
      </c>
      <c r="H39" s="209">
        <v>0.32100000000000001</v>
      </c>
      <c r="I39" s="209">
        <v>4.7309999999999998E-2</v>
      </c>
      <c r="J39" s="209">
        <f>Wskaźniki!$C$15</f>
        <v>6.2440000000000002E-2</v>
      </c>
      <c r="K39" s="208">
        <f t="shared" si="8"/>
        <v>1467.2578609949624</v>
      </c>
      <c r="L39" s="208">
        <f t="shared" si="9"/>
        <v>406.43042749560459</v>
      </c>
      <c r="M39" s="208">
        <f t="shared" si="10"/>
        <v>91.615580840525453</v>
      </c>
    </row>
    <row r="40" spans="2:13">
      <c r="B40" s="1165" t="str">
        <f>B6</f>
        <v>Ciągniki samochodowe</v>
      </c>
      <c r="C40" s="1156">
        <f>D40+D41+D42</f>
        <v>50.251889168765743</v>
      </c>
      <c r="D40" s="210">
        <f>D25/Charakterystyka_2020!$L$9*Charakterystyka_2028!AI9</f>
        <v>14.987405541561712</v>
      </c>
      <c r="E40" s="209" t="s">
        <v>19</v>
      </c>
      <c r="F40" s="209">
        <v>0.72</v>
      </c>
      <c r="G40" s="209">
        <v>5876</v>
      </c>
      <c r="H40" s="209">
        <v>0.32100000000000001</v>
      </c>
      <c r="I40" s="209">
        <v>4.478E-2</v>
      </c>
      <c r="J40" s="209">
        <f>Wskaźniki!$C$18</f>
        <v>6.8610000000000004E-2</v>
      </c>
      <c r="K40" s="208">
        <f t="shared" si="8"/>
        <v>911.44373519879093</v>
      </c>
      <c r="L40" s="208">
        <f t="shared" si="9"/>
        <v>252.46991465006511</v>
      </c>
      <c r="M40" s="208">
        <f t="shared" si="10"/>
        <v>62.53415467198905</v>
      </c>
    </row>
    <row r="41" spans="2:13">
      <c r="B41" s="1166"/>
      <c r="C41" s="1157"/>
      <c r="D41" s="210">
        <f>D26/Charakterystyka_2020!$L$9*Charakterystyka_2028!AI9</f>
        <v>35.264483627204029</v>
      </c>
      <c r="E41" s="209" t="s">
        <v>339</v>
      </c>
      <c r="F41" s="209">
        <v>0.82</v>
      </c>
      <c r="G41" s="209">
        <v>12016</v>
      </c>
      <c r="H41" s="209">
        <v>0.248</v>
      </c>
      <c r="I41" s="209">
        <v>4.333E-2</v>
      </c>
      <c r="J41" s="209">
        <f>Wskaźniki!$C$21</f>
        <v>7.3330000000000006E-2</v>
      </c>
      <c r="K41" s="208">
        <f t="shared" si="8"/>
        <v>3733.8053256705289</v>
      </c>
      <c r="L41" s="208">
        <f t="shared" si="9"/>
        <v>1034.2640752107366</v>
      </c>
      <c r="M41" s="208">
        <f t="shared" si="10"/>
        <v>273.7999445314199</v>
      </c>
    </row>
    <row r="42" spans="2:13">
      <c r="B42" s="1167"/>
      <c r="C42" s="1158"/>
      <c r="D42" s="210">
        <f>D27/Charakterystyka_2020!$L$9*Charakterystyka_2028!AI9</f>
        <v>0</v>
      </c>
      <c r="E42" s="209" t="s">
        <v>341</v>
      </c>
      <c r="F42" s="209">
        <v>0.56200000000000006</v>
      </c>
      <c r="G42" s="209">
        <v>10093</v>
      </c>
      <c r="H42" s="209">
        <v>0.32100000000000001</v>
      </c>
      <c r="I42" s="209">
        <v>4.7309999999999998E-2</v>
      </c>
      <c r="J42" s="209">
        <f>Wskaźniki!$C$15</f>
        <v>6.2440000000000002E-2</v>
      </c>
      <c r="K42" s="208">
        <f t="shared" si="8"/>
        <v>0</v>
      </c>
      <c r="L42" s="208">
        <f t="shared" si="9"/>
        <v>0</v>
      </c>
      <c r="M42" s="208">
        <f t="shared" si="10"/>
        <v>0</v>
      </c>
    </row>
    <row r="43" spans="2:13">
      <c r="B43" s="1162" t="s">
        <v>3</v>
      </c>
      <c r="C43" s="1163"/>
      <c r="D43" s="1163"/>
      <c r="E43" s="1163"/>
      <c r="F43" s="1163"/>
      <c r="G43" s="1163"/>
      <c r="H43" s="1163"/>
      <c r="I43" s="1163"/>
      <c r="J43" s="1164"/>
      <c r="K43" s="220">
        <f>SUM(K37:K42)</f>
        <v>44574.087585844129</v>
      </c>
      <c r="L43" s="220">
        <f>SUM(L37:L42)</f>
        <v>12347.022261278824</v>
      </c>
      <c r="M43" s="220">
        <f>SUM(M37:M42)</f>
        <v>3192.5660702377982</v>
      </c>
    </row>
    <row r="45" spans="2:13" ht="25.5">
      <c r="B45" s="1154" t="s">
        <v>349</v>
      </c>
      <c r="C45" s="219" t="s">
        <v>329</v>
      </c>
      <c r="D45" s="219">
        <v>2028</v>
      </c>
      <c r="E45" s="219" t="s">
        <v>336</v>
      </c>
      <c r="F45" s="219" t="s">
        <v>337</v>
      </c>
      <c r="G45" s="219" t="s">
        <v>317</v>
      </c>
      <c r="H45" s="165"/>
      <c r="I45" s="165"/>
      <c r="J45" s="165"/>
      <c r="K45" s="165"/>
    </row>
    <row r="46" spans="2:13">
      <c r="B46" s="1154"/>
      <c r="C46" s="1156">
        <f>C37+C40</f>
        <v>917.75818639798479</v>
      </c>
      <c r="D46" s="209" t="s">
        <v>19</v>
      </c>
      <c r="E46" s="208">
        <f t="shared" ref="E46:G48" si="11">K37+K40</f>
        <v>12727.401340236573</v>
      </c>
      <c r="F46" s="208">
        <f t="shared" si="11"/>
        <v>3525.4901712455312</v>
      </c>
      <c r="G46" s="208">
        <f t="shared" si="11"/>
        <v>873.22700595363131</v>
      </c>
      <c r="H46" s="165"/>
      <c r="I46" s="165"/>
      <c r="J46" s="165"/>
      <c r="K46" s="165"/>
    </row>
    <row r="47" spans="2:13">
      <c r="B47" s="1154"/>
      <c r="C47" s="1159"/>
      <c r="D47" s="209" t="s">
        <v>339</v>
      </c>
      <c r="E47" s="208">
        <f t="shared" si="11"/>
        <v>30379.428384612587</v>
      </c>
      <c r="F47" s="208">
        <f t="shared" si="11"/>
        <v>8415.1016625376888</v>
      </c>
      <c r="G47" s="208">
        <f t="shared" si="11"/>
        <v>2227.7234834436413</v>
      </c>
      <c r="H47" s="165"/>
      <c r="I47" s="165"/>
      <c r="J47" s="165"/>
      <c r="K47" s="165"/>
    </row>
    <row r="48" spans="2:13">
      <c r="B48" s="1154"/>
      <c r="C48" s="1160"/>
      <c r="D48" s="209" t="s">
        <v>341</v>
      </c>
      <c r="E48" s="208">
        <f t="shared" si="11"/>
        <v>1467.2578609949624</v>
      </c>
      <c r="F48" s="208">
        <f t="shared" si="11"/>
        <v>406.43042749560459</v>
      </c>
      <c r="G48" s="208">
        <f t="shared" si="11"/>
        <v>91.615580840525453</v>
      </c>
    </row>
    <row r="49" spans="2:7">
      <c r="B49" s="1154" t="s">
        <v>3</v>
      </c>
      <c r="C49" s="1154"/>
      <c r="D49" s="1154"/>
      <c r="E49" s="220">
        <f>SUM(E46:E48)</f>
        <v>44574.087585844121</v>
      </c>
      <c r="F49" s="220">
        <f>SUM(F46:F48)</f>
        <v>12347.022261278824</v>
      </c>
      <c r="G49" s="220">
        <f>SUM(G46:G48)</f>
        <v>3192.5660702377982</v>
      </c>
    </row>
  </sheetData>
  <mergeCells count="25">
    <mergeCell ref="B25:B27"/>
    <mergeCell ref="C25:C27"/>
    <mergeCell ref="B28:J28"/>
    <mergeCell ref="B11:D11"/>
    <mergeCell ref="B3:B5"/>
    <mergeCell ref="C3:C5"/>
    <mergeCell ref="B6:B8"/>
    <mergeCell ref="C6:C8"/>
    <mergeCell ref="B9:J9"/>
    <mergeCell ref="B49:D49"/>
    <mergeCell ref="B15:B18"/>
    <mergeCell ref="C16:C18"/>
    <mergeCell ref="B19:D19"/>
    <mergeCell ref="B37:B39"/>
    <mergeCell ref="C37:C39"/>
    <mergeCell ref="B40:B42"/>
    <mergeCell ref="C40:C42"/>
    <mergeCell ref="B30:B33"/>
    <mergeCell ref="C31:C33"/>
    <mergeCell ref="B34:D34"/>
    <mergeCell ref="B43:J43"/>
    <mergeCell ref="B45:B48"/>
    <mergeCell ref="C46:C48"/>
    <mergeCell ref="B22:B24"/>
    <mergeCell ref="C22:C24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2:N28"/>
  <sheetViews>
    <sheetView showGridLines="0" zoomScale="90" zoomScaleNormal="90" workbookViewId="0">
      <selection activeCell="K34" sqref="K34"/>
    </sheetView>
  </sheetViews>
  <sheetFormatPr defaultColWidth="10.875" defaultRowHeight="15"/>
  <cols>
    <col min="1" max="1" width="3.75" style="113" customWidth="1"/>
    <col min="2" max="13" width="10.875" style="113"/>
    <col min="14" max="14" width="4.75" style="113" customWidth="1"/>
    <col min="15" max="16384" width="10.875" style="113"/>
  </cols>
  <sheetData>
    <row r="2" spans="2:14" ht="38.25">
      <c r="B2" s="219">
        <v>2014</v>
      </c>
      <c r="C2" s="219" t="s">
        <v>329</v>
      </c>
      <c r="D2" s="219" t="s">
        <v>330</v>
      </c>
      <c r="E2" s="219" t="s">
        <v>331</v>
      </c>
      <c r="F2" s="219" t="s">
        <v>332</v>
      </c>
      <c r="G2" s="219" t="s">
        <v>333</v>
      </c>
      <c r="H2" s="219" t="s">
        <v>334</v>
      </c>
      <c r="I2" s="219" t="s">
        <v>335</v>
      </c>
      <c r="J2" s="219" t="s">
        <v>13</v>
      </c>
      <c r="K2" s="219" t="s">
        <v>336</v>
      </c>
      <c r="L2" s="219" t="s">
        <v>337</v>
      </c>
      <c r="M2" s="219" t="s">
        <v>317</v>
      </c>
      <c r="N2" s="165"/>
    </row>
    <row r="3" spans="2:14">
      <c r="B3" s="1154" t="s">
        <v>20</v>
      </c>
      <c r="C3" s="1161">
        <v>9</v>
      </c>
      <c r="D3" s="210">
        <v>0</v>
      </c>
      <c r="E3" s="209" t="s">
        <v>19</v>
      </c>
      <c r="F3" s="209">
        <v>0.72</v>
      </c>
      <c r="G3" s="209">
        <v>5000</v>
      </c>
      <c r="H3" s="209">
        <v>0.27800000000000002</v>
      </c>
      <c r="I3" s="209">
        <v>4.478E-2</v>
      </c>
      <c r="J3" s="209">
        <f>Wskaźniki!$C$18</f>
        <v>6.8610000000000004E-2</v>
      </c>
      <c r="K3" s="208">
        <f>D3*F3*G3*H3*I3</f>
        <v>0</v>
      </c>
      <c r="L3" s="208">
        <f>K3*$C$10</f>
        <v>0</v>
      </c>
      <c r="M3" s="208">
        <f>K3*J3</f>
        <v>0</v>
      </c>
      <c r="N3" s="165"/>
    </row>
    <row r="4" spans="2:14">
      <c r="B4" s="1154"/>
      <c r="C4" s="1159"/>
      <c r="D4" s="210">
        <v>9</v>
      </c>
      <c r="E4" s="209" t="s">
        <v>339</v>
      </c>
      <c r="F4" s="209">
        <v>0.82</v>
      </c>
      <c r="G4" s="209">
        <v>5000</v>
      </c>
      <c r="H4" s="209">
        <v>0.27800000000000002</v>
      </c>
      <c r="I4" s="209">
        <v>4.333E-2</v>
      </c>
      <c r="J4" s="209">
        <f>Wskaźniki!$C$21</f>
        <v>7.3330000000000006E-2</v>
      </c>
      <c r="K4" s="208">
        <f>D4*F4*G4*H4*I4</f>
        <v>444.48780600000003</v>
      </c>
      <c r="L4" s="208">
        <f>K4*$C$10</f>
        <v>123.12312226200002</v>
      </c>
      <c r="M4" s="208">
        <f>K4*J4</f>
        <v>32.594290813980002</v>
      </c>
      <c r="N4" s="165"/>
    </row>
    <row r="5" spans="2:14">
      <c r="B5" s="1154"/>
      <c r="C5" s="1160"/>
      <c r="D5" s="210">
        <v>0</v>
      </c>
      <c r="E5" s="209" t="s">
        <v>341</v>
      </c>
      <c r="F5" s="209">
        <v>0.56200000000000006</v>
      </c>
      <c r="G5" s="209">
        <v>5000</v>
      </c>
      <c r="H5" s="209">
        <v>0.27800000000000002</v>
      </c>
      <c r="I5" s="209">
        <v>4.7309999999999998E-2</v>
      </c>
      <c r="J5" s="209">
        <f>Wskaźniki!$C$15</f>
        <v>6.2440000000000002E-2</v>
      </c>
      <c r="K5" s="208">
        <f>D5*F5*G5*H5*I5</f>
        <v>0</v>
      </c>
      <c r="L5" s="208">
        <f>K5*$C$10</f>
        <v>0</v>
      </c>
      <c r="M5" s="208">
        <f>K5*J5</f>
        <v>0</v>
      </c>
      <c r="N5" s="165"/>
    </row>
    <row r="6" spans="2:14">
      <c r="B6" s="1154" t="s">
        <v>3</v>
      </c>
      <c r="C6" s="1154"/>
      <c r="D6" s="1154"/>
      <c r="E6" s="1154"/>
      <c r="F6" s="1154"/>
      <c r="G6" s="1154"/>
      <c r="H6" s="1154"/>
      <c r="I6" s="1154"/>
      <c r="J6" s="1154"/>
      <c r="K6" s="220">
        <f>SUM(K3:K5)</f>
        <v>444.48780600000003</v>
      </c>
      <c r="L6" s="220">
        <f>SUM(L3:L5)</f>
        <v>123.12312226200002</v>
      </c>
      <c r="M6" s="220">
        <f>SUM(M3:M5)</f>
        <v>32.594290813980002</v>
      </c>
      <c r="N6" s="165"/>
    </row>
    <row r="7" spans="2:14">
      <c r="B7" s="165"/>
      <c r="C7" s="165"/>
      <c r="D7" s="212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2:14">
      <c r="B8" s="1168" t="s">
        <v>211</v>
      </c>
      <c r="C8" s="1168"/>
      <c r="D8" s="1168"/>
      <c r="E8" s="211"/>
      <c r="F8" s="216"/>
      <c r="G8" s="165"/>
      <c r="H8" s="165"/>
      <c r="I8" s="165"/>
      <c r="J8" s="165"/>
      <c r="K8" s="165"/>
      <c r="L8" s="165"/>
      <c r="M8" s="165"/>
      <c r="N8" s="165"/>
    </row>
    <row r="9" spans="2:14">
      <c r="B9" s="221" t="s">
        <v>212</v>
      </c>
      <c r="C9" s="214">
        <v>3.6</v>
      </c>
      <c r="D9" s="214" t="s">
        <v>207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2:14">
      <c r="B10" s="222" t="s">
        <v>213</v>
      </c>
      <c r="C10" s="214">
        <v>0.27700000000000002</v>
      </c>
      <c r="D10" s="214" t="s">
        <v>214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2:14">
      <c r="N11" s="165"/>
    </row>
    <row r="12" spans="2:14" ht="25.5">
      <c r="B12" s="1154" t="s">
        <v>511</v>
      </c>
      <c r="C12" s="219" t="s">
        <v>329</v>
      </c>
      <c r="D12" s="219">
        <v>2014</v>
      </c>
      <c r="E12" s="219" t="s">
        <v>336</v>
      </c>
      <c r="F12" s="219" t="s">
        <v>337</v>
      </c>
      <c r="G12" s="219" t="s">
        <v>317</v>
      </c>
      <c r="H12" s="165"/>
      <c r="I12" s="165"/>
      <c r="J12" s="165"/>
      <c r="K12" s="165"/>
      <c r="L12" s="165"/>
      <c r="M12" s="165"/>
      <c r="N12" s="165"/>
    </row>
    <row r="13" spans="2:14">
      <c r="B13" s="1154"/>
      <c r="C13" s="1161">
        <f>C3</f>
        <v>9</v>
      </c>
      <c r="D13" s="209" t="s">
        <v>19</v>
      </c>
      <c r="E13" s="208">
        <f t="shared" ref="E13:G15" si="0">K3</f>
        <v>0</v>
      </c>
      <c r="F13" s="208">
        <f t="shared" si="0"/>
        <v>0</v>
      </c>
      <c r="G13" s="208">
        <f t="shared" si="0"/>
        <v>0</v>
      </c>
      <c r="H13" s="165"/>
      <c r="I13" s="165"/>
      <c r="J13" s="165"/>
      <c r="K13" s="165"/>
      <c r="L13" s="165"/>
      <c r="M13" s="165"/>
      <c r="N13" s="165"/>
    </row>
    <row r="14" spans="2:14">
      <c r="B14" s="1154"/>
      <c r="C14" s="1159"/>
      <c r="D14" s="209" t="s">
        <v>339</v>
      </c>
      <c r="E14" s="208">
        <f t="shared" si="0"/>
        <v>444.48780600000003</v>
      </c>
      <c r="F14" s="208">
        <f t="shared" si="0"/>
        <v>123.12312226200002</v>
      </c>
      <c r="G14" s="208">
        <f t="shared" si="0"/>
        <v>32.594290813980002</v>
      </c>
      <c r="H14" s="165"/>
      <c r="I14" s="165"/>
      <c r="J14" s="165"/>
      <c r="K14" s="165"/>
    </row>
    <row r="15" spans="2:14">
      <c r="B15" s="1154"/>
      <c r="C15" s="1160"/>
      <c r="D15" s="209" t="s">
        <v>341</v>
      </c>
      <c r="E15" s="208">
        <f t="shared" si="0"/>
        <v>0</v>
      </c>
      <c r="F15" s="208">
        <f t="shared" si="0"/>
        <v>0</v>
      </c>
      <c r="G15" s="208">
        <f t="shared" si="0"/>
        <v>0</v>
      </c>
      <c r="H15" s="165"/>
      <c r="I15" s="165"/>
      <c r="J15" s="165"/>
      <c r="K15" s="165"/>
      <c r="N15" s="165"/>
    </row>
    <row r="16" spans="2:14">
      <c r="B16" s="1162" t="s">
        <v>3</v>
      </c>
      <c r="C16" s="1163"/>
      <c r="D16" s="1164"/>
      <c r="E16" s="220">
        <f>SUM(E13:E15)</f>
        <v>444.48780600000003</v>
      </c>
      <c r="F16" s="220">
        <f>SUM(F13:F15)</f>
        <v>123.12312226200002</v>
      </c>
      <c r="G16" s="220">
        <f>SUM(G13:G15)</f>
        <v>32.594290813980002</v>
      </c>
      <c r="H16" s="165"/>
      <c r="I16" s="165"/>
      <c r="J16" s="165"/>
      <c r="K16" s="165"/>
      <c r="N16" s="165"/>
    </row>
    <row r="18" spans="2:13" ht="38.25">
      <c r="B18" s="219">
        <v>2020</v>
      </c>
      <c r="C18" s="219" t="s">
        <v>329</v>
      </c>
      <c r="D18" s="219" t="s">
        <v>330</v>
      </c>
      <c r="E18" s="219" t="s">
        <v>331</v>
      </c>
      <c r="F18" s="219" t="s">
        <v>332</v>
      </c>
      <c r="G18" s="219" t="s">
        <v>333</v>
      </c>
      <c r="H18" s="219" t="s">
        <v>334</v>
      </c>
      <c r="I18" s="219" t="s">
        <v>335</v>
      </c>
      <c r="J18" s="219" t="s">
        <v>13</v>
      </c>
      <c r="K18" s="219" t="s">
        <v>336</v>
      </c>
      <c r="L18" s="219" t="s">
        <v>337</v>
      </c>
      <c r="M18" s="219" t="s">
        <v>317</v>
      </c>
    </row>
    <row r="19" spans="2:13">
      <c r="B19" s="1165" t="str">
        <f>B3</f>
        <v>Autobusy</v>
      </c>
      <c r="C19" s="1156">
        <f>D20</f>
        <v>8</v>
      </c>
      <c r="D19" s="210">
        <v>0</v>
      </c>
      <c r="E19" s="209" t="s">
        <v>19</v>
      </c>
      <c r="F19" s="209">
        <v>0.72</v>
      </c>
      <c r="G19" s="209">
        <v>5000</v>
      </c>
      <c r="H19" s="209">
        <v>0.27800000000000002</v>
      </c>
      <c r="I19" s="209">
        <v>4.478E-2</v>
      </c>
      <c r="J19" s="209">
        <f>Wskaźniki!$C$18</f>
        <v>6.8610000000000004E-2</v>
      </c>
      <c r="K19" s="208">
        <f>D19*F19*G19*H19*I19</f>
        <v>0</v>
      </c>
      <c r="L19" s="208">
        <f>K19*$C$10</f>
        <v>0</v>
      </c>
      <c r="M19" s="208">
        <f>K19*J19</f>
        <v>0</v>
      </c>
    </row>
    <row r="20" spans="2:13">
      <c r="B20" s="1166"/>
      <c r="C20" s="1157"/>
      <c r="D20" s="210">
        <f>INT(D4/Charakterystyka_2020!$L$9*Charakterystyka_2020!$AI$9)</f>
        <v>8</v>
      </c>
      <c r="E20" s="209" t="s">
        <v>339</v>
      </c>
      <c r="F20" s="209">
        <v>0.82</v>
      </c>
      <c r="G20" s="209">
        <v>5000</v>
      </c>
      <c r="H20" s="209">
        <v>0.27800000000000002</v>
      </c>
      <c r="I20" s="209">
        <v>4.333E-2</v>
      </c>
      <c r="J20" s="209">
        <f>Wskaźniki!$C$21</f>
        <v>7.3330000000000006E-2</v>
      </c>
      <c r="K20" s="208">
        <f>D20*F20*G20*H20*I20</f>
        <v>395.10027200000007</v>
      </c>
      <c r="L20" s="208">
        <f>K20*$C$10</f>
        <v>109.44277534400003</v>
      </c>
      <c r="M20" s="208">
        <f>K20*J20</f>
        <v>28.972702945760009</v>
      </c>
    </row>
    <row r="21" spans="2:13">
      <c r="B21" s="1167"/>
      <c r="C21" s="1158"/>
      <c r="D21" s="210">
        <v>0</v>
      </c>
      <c r="E21" s="209" t="s">
        <v>341</v>
      </c>
      <c r="F21" s="209">
        <v>0.56200000000000006</v>
      </c>
      <c r="G21" s="209">
        <v>5000</v>
      </c>
      <c r="H21" s="209">
        <v>0.27800000000000002</v>
      </c>
      <c r="I21" s="209">
        <v>4.7309999999999998E-2</v>
      </c>
      <c r="J21" s="209">
        <f>Wskaźniki!$C$15</f>
        <v>6.2440000000000002E-2</v>
      </c>
      <c r="K21" s="208">
        <f>D21*F21*G21*H21*I21</f>
        <v>0</v>
      </c>
      <c r="L21" s="208">
        <f>K21*$C$10</f>
        <v>0</v>
      </c>
      <c r="M21" s="208">
        <f>K21*J21</f>
        <v>0</v>
      </c>
    </row>
    <row r="22" spans="2:13" ht="15" customHeight="1">
      <c r="B22" s="1162" t="s">
        <v>3</v>
      </c>
      <c r="C22" s="1163"/>
      <c r="D22" s="1163"/>
      <c r="E22" s="1163"/>
      <c r="F22" s="1163"/>
      <c r="G22" s="1163"/>
      <c r="H22" s="1163"/>
      <c r="I22" s="1163"/>
      <c r="J22" s="1164"/>
      <c r="K22" s="220">
        <f>SUM(K19:K21)</f>
        <v>395.10027200000007</v>
      </c>
      <c r="L22" s="220">
        <f>SUM(L19:L21)</f>
        <v>109.44277534400003</v>
      </c>
      <c r="M22" s="220">
        <f>SUM(M19:M21)</f>
        <v>28.972702945760009</v>
      </c>
    </row>
    <row r="24" spans="2:13" ht="25.5">
      <c r="B24" s="1154" t="str">
        <f>B12</f>
        <v>TRANSPORT KOMERCYJNY AUTOBUSY</v>
      </c>
      <c r="C24" s="219" t="s">
        <v>329</v>
      </c>
      <c r="D24" s="219">
        <v>2020</v>
      </c>
      <c r="E24" s="219" t="s">
        <v>336</v>
      </c>
      <c r="F24" s="219" t="s">
        <v>337</v>
      </c>
      <c r="G24" s="219" t="s">
        <v>317</v>
      </c>
      <c r="H24" s="165"/>
      <c r="I24" s="165"/>
      <c r="J24" s="165"/>
      <c r="K24" s="165"/>
    </row>
    <row r="25" spans="2:13">
      <c r="B25" s="1154"/>
      <c r="C25" s="1156">
        <f>C19</f>
        <v>8</v>
      </c>
      <c r="D25" s="209" t="s">
        <v>19</v>
      </c>
      <c r="E25" s="208">
        <f t="shared" ref="E25:G27" si="1">K19</f>
        <v>0</v>
      </c>
      <c r="F25" s="208">
        <f t="shared" si="1"/>
        <v>0</v>
      </c>
      <c r="G25" s="208">
        <f t="shared" si="1"/>
        <v>0</v>
      </c>
      <c r="H25" s="165"/>
      <c r="I25" s="165"/>
      <c r="J25" s="165"/>
      <c r="K25" s="165"/>
    </row>
    <row r="26" spans="2:13">
      <c r="B26" s="1154"/>
      <c r="C26" s="1159"/>
      <c r="D26" s="209" t="s">
        <v>339</v>
      </c>
      <c r="E26" s="208">
        <f t="shared" si="1"/>
        <v>395.10027200000007</v>
      </c>
      <c r="F26" s="208">
        <f t="shared" si="1"/>
        <v>109.44277534400003</v>
      </c>
      <c r="G26" s="208">
        <f t="shared" si="1"/>
        <v>28.972702945760009</v>
      </c>
      <c r="H26" s="165"/>
      <c r="I26" s="165"/>
      <c r="J26" s="165"/>
      <c r="K26" s="165"/>
    </row>
    <row r="27" spans="2:13">
      <c r="B27" s="1154"/>
      <c r="C27" s="1160"/>
      <c r="D27" s="209" t="s">
        <v>341</v>
      </c>
      <c r="E27" s="208">
        <f t="shared" si="1"/>
        <v>0</v>
      </c>
      <c r="F27" s="208">
        <f t="shared" si="1"/>
        <v>0</v>
      </c>
      <c r="G27" s="208">
        <f t="shared" si="1"/>
        <v>0</v>
      </c>
    </row>
    <row r="28" spans="2:13">
      <c r="B28" s="1154" t="s">
        <v>3</v>
      </c>
      <c r="C28" s="1154"/>
      <c r="D28" s="1154"/>
      <c r="E28" s="220">
        <f>SUM(E25:E27)</f>
        <v>395.10027200000007</v>
      </c>
      <c r="F28" s="220">
        <f>SUM(F25:F27)</f>
        <v>109.44277534400003</v>
      </c>
      <c r="G28" s="220">
        <f>SUM(G25:G27)</f>
        <v>28.972702945760009</v>
      </c>
    </row>
  </sheetData>
  <mergeCells count="13">
    <mergeCell ref="B3:B5"/>
    <mergeCell ref="C3:C5"/>
    <mergeCell ref="B6:J6"/>
    <mergeCell ref="B22:J22"/>
    <mergeCell ref="B24:B27"/>
    <mergeCell ref="C25:C27"/>
    <mergeCell ref="B28:D28"/>
    <mergeCell ref="B8:D8"/>
    <mergeCell ref="B12:B15"/>
    <mergeCell ref="C13:C15"/>
    <mergeCell ref="B16:D16"/>
    <mergeCell ref="B19:B21"/>
    <mergeCell ref="C19:C2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2:N41"/>
  <sheetViews>
    <sheetView showGridLines="0" topLeftCell="A19" zoomScale="85" zoomScaleNormal="85" workbookViewId="0">
      <selection activeCell="D33" sqref="D33"/>
    </sheetView>
  </sheetViews>
  <sheetFormatPr defaultColWidth="10.875" defaultRowHeight="15"/>
  <cols>
    <col min="1" max="1" width="3.75" style="113" customWidth="1"/>
    <col min="2" max="13" width="10.875" style="113"/>
    <col min="14" max="14" width="4.75" style="113" customWidth="1"/>
    <col min="15" max="16384" width="10.875" style="113"/>
  </cols>
  <sheetData>
    <row r="2" spans="2:14" ht="38.25">
      <c r="B2" s="219">
        <v>2014</v>
      </c>
      <c r="C2" s="219" t="s">
        <v>329</v>
      </c>
      <c r="D2" s="219" t="s">
        <v>330</v>
      </c>
      <c r="E2" s="219" t="s">
        <v>331</v>
      </c>
      <c r="F2" s="219" t="s">
        <v>332</v>
      </c>
      <c r="G2" s="219" t="s">
        <v>333</v>
      </c>
      <c r="H2" s="219" t="s">
        <v>334</v>
      </c>
      <c r="I2" s="219" t="s">
        <v>335</v>
      </c>
      <c r="J2" s="219" t="s">
        <v>13</v>
      </c>
      <c r="K2" s="219" t="s">
        <v>336</v>
      </c>
      <c r="L2" s="219" t="s">
        <v>337</v>
      </c>
      <c r="M2" s="219" t="s">
        <v>317</v>
      </c>
      <c r="N2" s="165"/>
    </row>
    <row r="3" spans="2:14">
      <c r="B3" s="1154" t="s">
        <v>20</v>
      </c>
      <c r="C3" s="1161">
        <v>9</v>
      </c>
      <c r="D3" s="210">
        <v>0</v>
      </c>
      <c r="E3" s="209" t="s">
        <v>19</v>
      </c>
      <c r="F3" s="209">
        <v>0.72</v>
      </c>
      <c r="G3" s="209">
        <v>5000</v>
      </c>
      <c r="H3" s="209">
        <v>0.27800000000000002</v>
      </c>
      <c r="I3" s="209">
        <v>4.478E-2</v>
      </c>
      <c r="J3" s="209">
        <f>Wskaźniki!$C$18</f>
        <v>6.8610000000000004E-2</v>
      </c>
      <c r="K3" s="208">
        <f>D3*F3*G3*H3*I3</f>
        <v>0</v>
      </c>
      <c r="L3" s="208">
        <f>K3*$C$10</f>
        <v>0</v>
      </c>
      <c r="M3" s="208">
        <f>K3*J3</f>
        <v>0</v>
      </c>
      <c r="N3" s="165"/>
    </row>
    <row r="4" spans="2:14">
      <c r="B4" s="1154"/>
      <c r="C4" s="1159"/>
      <c r="D4" s="210">
        <v>9</v>
      </c>
      <c r="E4" s="209" t="s">
        <v>339</v>
      </c>
      <c r="F4" s="209">
        <v>0.82</v>
      </c>
      <c r="G4" s="209">
        <v>5000</v>
      </c>
      <c r="H4" s="209">
        <v>0.27800000000000002</v>
      </c>
      <c r="I4" s="209">
        <v>4.333E-2</v>
      </c>
      <c r="J4" s="209">
        <f>Wskaźniki!$C$21</f>
        <v>7.3330000000000006E-2</v>
      </c>
      <c r="K4" s="208">
        <f>D4*F4*G4*H4*I4</f>
        <v>444.48780600000003</v>
      </c>
      <c r="L4" s="208">
        <f>K4*$C$10</f>
        <v>123.12312226200002</v>
      </c>
      <c r="M4" s="208">
        <f>K4*J4</f>
        <v>32.594290813980002</v>
      </c>
      <c r="N4" s="165"/>
    </row>
    <row r="5" spans="2:14">
      <c r="B5" s="1154"/>
      <c r="C5" s="1160"/>
      <c r="D5" s="210">
        <v>0</v>
      </c>
      <c r="E5" s="209" t="s">
        <v>341</v>
      </c>
      <c r="F5" s="209">
        <v>0.56200000000000006</v>
      </c>
      <c r="G5" s="209">
        <v>5000</v>
      </c>
      <c r="H5" s="209">
        <v>0.27800000000000002</v>
      </c>
      <c r="I5" s="209">
        <v>4.7309999999999998E-2</v>
      </c>
      <c r="J5" s="209">
        <f>Wskaźniki!$C$15</f>
        <v>6.2440000000000002E-2</v>
      </c>
      <c r="K5" s="208">
        <f>D5*F5*G5*H5*I5</f>
        <v>0</v>
      </c>
      <c r="L5" s="208">
        <f>K5*$C$10</f>
        <v>0</v>
      </c>
      <c r="M5" s="208">
        <f>K5*J5</f>
        <v>0</v>
      </c>
      <c r="N5" s="165"/>
    </row>
    <row r="6" spans="2:14">
      <c r="B6" s="1154" t="s">
        <v>3</v>
      </c>
      <c r="C6" s="1154"/>
      <c r="D6" s="1154"/>
      <c r="E6" s="1154"/>
      <c r="F6" s="1154"/>
      <c r="G6" s="1154"/>
      <c r="H6" s="1154"/>
      <c r="I6" s="1154"/>
      <c r="J6" s="1154"/>
      <c r="K6" s="220">
        <f>SUM(K3:K5)</f>
        <v>444.48780600000003</v>
      </c>
      <c r="L6" s="220">
        <f>SUM(L3:L5)</f>
        <v>123.12312226200002</v>
      </c>
      <c r="M6" s="220">
        <f>SUM(M3:M5)</f>
        <v>32.594290813980002</v>
      </c>
      <c r="N6" s="165"/>
    </row>
    <row r="7" spans="2:14">
      <c r="B7" s="165"/>
      <c r="C7" s="165"/>
      <c r="D7" s="212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2:14">
      <c r="B8" s="1168" t="s">
        <v>211</v>
      </c>
      <c r="C8" s="1168"/>
      <c r="D8" s="1168"/>
      <c r="E8" s="211"/>
      <c r="F8" s="216"/>
      <c r="G8" s="165"/>
      <c r="H8" s="165"/>
      <c r="I8" s="165"/>
      <c r="J8" s="165"/>
      <c r="K8" s="165"/>
      <c r="L8" s="165"/>
      <c r="M8" s="165"/>
      <c r="N8" s="165"/>
    </row>
    <row r="9" spans="2:14">
      <c r="B9" s="221" t="s">
        <v>212</v>
      </c>
      <c r="C9" s="214">
        <v>3.6</v>
      </c>
      <c r="D9" s="214" t="s">
        <v>207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2:14">
      <c r="B10" s="222" t="s">
        <v>213</v>
      </c>
      <c r="C10" s="214">
        <v>0.27700000000000002</v>
      </c>
      <c r="D10" s="214" t="s">
        <v>214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2:14">
      <c r="N11" s="165"/>
    </row>
    <row r="12" spans="2:14" ht="25.5">
      <c r="B12" s="1154" t="s">
        <v>511</v>
      </c>
      <c r="C12" s="219" t="s">
        <v>329</v>
      </c>
      <c r="D12" s="219">
        <v>2014</v>
      </c>
      <c r="E12" s="219" t="s">
        <v>336</v>
      </c>
      <c r="F12" s="219" t="s">
        <v>337</v>
      </c>
      <c r="G12" s="219" t="s">
        <v>317</v>
      </c>
      <c r="H12" s="165"/>
      <c r="I12" s="165"/>
      <c r="J12" s="165"/>
      <c r="K12" s="165"/>
      <c r="L12" s="165"/>
      <c r="M12" s="165"/>
      <c r="N12" s="165"/>
    </row>
    <row r="13" spans="2:14">
      <c r="B13" s="1154"/>
      <c r="C13" s="1161">
        <f>C3</f>
        <v>9</v>
      </c>
      <c r="D13" s="209" t="s">
        <v>19</v>
      </c>
      <c r="E13" s="208">
        <f t="shared" ref="E13:G15" si="0">K3</f>
        <v>0</v>
      </c>
      <c r="F13" s="208">
        <f t="shared" si="0"/>
        <v>0</v>
      </c>
      <c r="G13" s="208">
        <f t="shared" si="0"/>
        <v>0</v>
      </c>
      <c r="H13" s="165"/>
      <c r="I13" s="165"/>
      <c r="J13" s="165"/>
      <c r="K13" s="165"/>
      <c r="L13" s="165"/>
      <c r="M13" s="165"/>
      <c r="N13" s="165"/>
    </row>
    <row r="14" spans="2:14">
      <c r="B14" s="1154"/>
      <c r="C14" s="1159"/>
      <c r="D14" s="209" t="s">
        <v>339</v>
      </c>
      <c r="E14" s="208">
        <f t="shared" si="0"/>
        <v>444.48780600000003</v>
      </c>
      <c r="F14" s="208">
        <f t="shared" si="0"/>
        <v>123.12312226200002</v>
      </c>
      <c r="G14" s="208">
        <f t="shared" si="0"/>
        <v>32.594290813980002</v>
      </c>
      <c r="H14" s="165"/>
      <c r="I14" s="165"/>
      <c r="J14" s="165"/>
      <c r="K14" s="165"/>
    </row>
    <row r="15" spans="2:14">
      <c r="B15" s="1154"/>
      <c r="C15" s="1160"/>
      <c r="D15" s="209" t="s">
        <v>341</v>
      </c>
      <c r="E15" s="208">
        <f t="shared" si="0"/>
        <v>0</v>
      </c>
      <c r="F15" s="208">
        <f t="shared" si="0"/>
        <v>0</v>
      </c>
      <c r="G15" s="208">
        <f t="shared" si="0"/>
        <v>0</v>
      </c>
      <c r="H15" s="165"/>
      <c r="I15" s="165"/>
      <c r="J15" s="165"/>
      <c r="K15" s="165"/>
      <c r="N15" s="165"/>
    </row>
    <row r="16" spans="2:14">
      <c r="B16" s="1162" t="s">
        <v>3</v>
      </c>
      <c r="C16" s="1163"/>
      <c r="D16" s="1164"/>
      <c r="E16" s="220">
        <f>SUM(E13:E15)</f>
        <v>444.48780600000003</v>
      </c>
      <c r="F16" s="220">
        <f>SUM(F13:F15)</f>
        <v>123.12312226200002</v>
      </c>
      <c r="G16" s="220">
        <f>SUM(G13:G15)</f>
        <v>32.594290813980002</v>
      </c>
      <c r="H16" s="165"/>
      <c r="I16" s="165"/>
      <c r="J16" s="165"/>
      <c r="K16" s="165"/>
      <c r="N16" s="165"/>
    </row>
    <row r="18" spans="2:13" ht="38.25">
      <c r="B18" s="219">
        <v>2024</v>
      </c>
      <c r="C18" s="219" t="s">
        <v>329</v>
      </c>
      <c r="D18" s="219" t="s">
        <v>330</v>
      </c>
      <c r="E18" s="219" t="s">
        <v>331</v>
      </c>
      <c r="F18" s="219" t="s">
        <v>332</v>
      </c>
      <c r="G18" s="219" t="s">
        <v>333</v>
      </c>
      <c r="H18" s="219" t="s">
        <v>334</v>
      </c>
      <c r="I18" s="219" t="s">
        <v>335</v>
      </c>
      <c r="J18" s="219" t="s">
        <v>13</v>
      </c>
      <c r="K18" s="219" t="s">
        <v>336</v>
      </c>
      <c r="L18" s="219" t="s">
        <v>337</v>
      </c>
      <c r="M18" s="219" t="s">
        <v>317</v>
      </c>
    </row>
    <row r="19" spans="2:13">
      <c r="B19" s="1165" t="str">
        <f>B3</f>
        <v>Autobusy</v>
      </c>
      <c r="C19" s="1156">
        <f>D20</f>
        <v>9</v>
      </c>
      <c r="D19" s="210">
        <v>0</v>
      </c>
      <c r="E19" s="209" t="s">
        <v>19</v>
      </c>
      <c r="F19" s="209">
        <v>0.72</v>
      </c>
      <c r="G19" s="209">
        <v>5000</v>
      </c>
      <c r="H19" s="209">
        <v>0.27800000000000002</v>
      </c>
      <c r="I19" s="209">
        <v>4.478E-2</v>
      </c>
      <c r="J19" s="209">
        <f>Wskaźniki!$C$18</f>
        <v>6.8610000000000004E-2</v>
      </c>
      <c r="K19" s="208">
        <f>D19*F19*G19*H19*I19</f>
        <v>0</v>
      </c>
      <c r="L19" s="208">
        <f>K19*$C$10</f>
        <v>0</v>
      </c>
      <c r="M19" s="208">
        <f>K19*J19</f>
        <v>0</v>
      </c>
    </row>
    <row r="20" spans="2:13">
      <c r="B20" s="1166"/>
      <c r="C20" s="1157"/>
      <c r="D20" s="210">
        <v>9</v>
      </c>
      <c r="E20" s="209" t="s">
        <v>339</v>
      </c>
      <c r="F20" s="209">
        <v>0.82</v>
      </c>
      <c r="G20" s="209">
        <v>5000</v>
      </c>
      <c r="H20" s="209">
        <v>0.27800000000000002</v>
      </c>
      <c r="I20" s="209">
        <v>4.333E-2</v>
      </c>
      <c r="J20" s="209">
        <f>Wskaźniki!$C$21</f>
        <v>7.3330000000000006E-2</v>
      </c>
      <c r="K20" s="208">
        <f>D20*F20*G20*H20*I20</f>
        <v>444.48780600000003</v>
      </c>
      <c r="L20" s="208">
        <f>K20*$C$10</f>
        <v>123.12312226200002</v>
      </c>
      <c r="M20" s="208">
        <f>K20*J20</f>
        <v>32.594290813980002</v>
      </c>
    </row>
    <row r="21" spans="2:13">
      <c r="B21" s="1167"/>
      <c r="C21" s="1158"/>
      <c r="D21" s="210">
        <v>0</v>
      </c>
      <c r="E21" s="209" t="s">
        <v>341</v>
      </c>
      <c r="F21" s="209">
        <v>0.56200000000000006</v>
      </c>
      <c r="G21" s="209">
        <v>5000</v>
      </c>
      <c r="H21" s="209">
        <v>0.27800000000000002</v>
      </c>
      <c r="I21" s="209">
        <v>4.7309999999999998E-2</v>
      </c>
      <c r="J21" s="209">
        <f>Wskaźniki!$C$15</f>
        <v>6.2440000000000002E-2</v>
      </c>
      <c r="K21" s="208">
        <f>D21*F21*G21*H21*I21</f>
        <v>0</v>
      </c>
      <c r="L21" s="208">
        <f>K21*$C$10</f>
        <v>0</v>
      </c>
      <c r="M21" s="208">
        <f>K21*J21</f>
        <v>0</v>
      </c>
    </row>
    <row r="22" spans="2:13">
      <c r="B22" s="1162" t="s">
        <v>3</v>
      </c>
      <c r="C22" s="1163"/>
      <c r="D22" s="1163"/>
      <c r="E22" s="1163"/>
      <c r="F22" s="1163"/>
      <c r="G22" s="1163"/>
      <c r="H22" s="1163"/>
      <c r="I22" s="1163"/>
      <c r="J22" s="1164"/>
      <c r="K22" s="220">
        <f>SUM(K19:K21)</f>
        <v>444.48780600000003</v>
      </c>
      <c r="L22" s="220">
        <f>SUM(L19:L21)</f>
        <v>123.12312226200002</v>
      </c>
      <c r="M22" s="220">
        <f>SUM(M19:M21)</f>
        <v>32.594290813980002</v>
      </c>
    </row>
    <row r="24" spans="2:13" ht="25.5">
      <c r="B24" s="1154" t="str">
        <f>B12</f>
        <v>TRANSPORT KOMERCYJNY AUTOBUSY</v>
      </c>
      <c r="C24" s="219" t="s">
        <v>329</v>
      </c>
      <c r="D24" s="219">
        <v>2024</v>
      </c>
      <c r="E24" s="219" t="s">
        <v>336</v>
      </c>
      <c r="F24" s="219" t="s">
        <v>337</v>
      </c>
      <c r="G24" s="219" t="s">
        <v>317</v>
      </c>
      <c r="H24" s="165"/>
      <c r="I24" s="165"/>
      <c r="J24" s="165"/>
      <c r="K24" s="165"/>
    </row>
    <row r="25" spans="2:13">
      <c r="B25" s="1154"/>
      <c r="C25" s="1156">
        <f>C19</f>
        <v>9</v>
      </c>
      <c r="D25" s="209" t="s">
        <v>19</v>
      </c>
      <c r="E25" s="208">
        <f t="shared" ref="E25:G27" si="1">K19</f>
        <v>0</v>
      </c>
      <c r="F25" s="208">
        <f t="shared" si="1"/>
        <v>0</v>
      </c>
      <c r="G25" s="208">
        <f t="shared" si="1"/>
        <v>0</v>
      </c>
      <c r="H25" s="165"/>
      <c r="I25" s="165"/>
      <c r="J25" s="165"/>
      <c r="K25" s="165"/>
    </row>
    <row r="26" spans="2:13">
      <c r="B26" s="1154"/>
      <c r="C26" s="1159"/>
      <c r="D26" s="209" t="s">
        <v>339</v>
      </c>
      <c r="E26" s="208">
        <f t="shared" si="1"/>
        <v>444.48780600000003</v>
      </c>
      <c r="F26" s="208">
        <f t="shared" si="1"/>
        <v>123.12312226200002</v>
      </c>
      <c r="G26" s="208">
        <f t="shared" si="1"/>
        <v>32.594290813980002</v>
      </c>
      <c r="H26" s="165"/>
      <c r="I26" s="165"/>
      <c r="J26" s="165"/>
      <c r="K26" s="165"/>
    </row>
    <row r="27" spans="2:13">
      <c r="B27" s="1154"/>
      <c r="C27" s="1160"/>
      <c r="D27" s="209" t="s">
        <v>341</v>
      </c>
      <c r="E27" s="208">
        <f t="shared" si="1"/>
        <v>0</v>
      </c>
      <c r="F27" s="208">
        <f t="shared" si="1"/>
        <v>0</v>
      </c>
      <c r="G27" s="208">
        <f t="shared" si="1"/>
        <v>0</v>
      </c>
    </row>
    <row r="28" spans="2:13">
      <c r="B28" s="1154" t="s">
        <v>3</v>
      </c>
      <c r="C28" s="1154"/>
      <c r="D28" s="1154"/>
      <c r="E28" s="220">
        <f>SUM(E25:E27)</f>
        <v>444.48780600000003</v>
      </c>
      <c r="F28" s="220">
        <f>SUM(F25:F27)</f>
        <v>123.12312226200002</v>
      </c>
      <c r="G28" s="220">
        <f>SUM(G25:G27)</f>
        <v>32.594290813980002</v>
      </c>
    </row>
    <row r="31" spans="2:13" ht="38.25">
      <c r="B31" s="219">
        <v>2028</v>
      </c>
      <c r="C31" s="219" t="s">
        <v>329</v>
      </c>
      <c r="D31" s="219" t="s">
        <v>330</v>
      </c>
      <c r="E31" s="219" t="s">
        <v>331</v>
      </c>
      <c r="F31" s="219" t="s">
        <v>332</v>
      </c>
      <c r="G31" s="219" t="s">
        <v>333</v>
      </c>
      <c r="H31" s="219" t="s">
        <v>334</v>
      </c>
      <c r="I31" s="219" t="s">
        <v>335</v>
      </c>
      <c r="J31" s="219" t="s">
        <v>13</v>
      </c>
      <c r="K31" s="219" t="s">
        <v>336</v>
      </c>
      <c r="L31" s="219" t="s">
        <v>337</v>
      </c>
      <c r="M31" s="219" t="s">
        <v>317</v>
      </c>
    </row>
    <row r="32" spans="2:13">
      <c r="B32" s="1165" t="str">
        <f>B3</f>
        <v>Autobusy</v>
      </c>
      <c r="C32" s="1156">
        <f>D33</f>
        <v>9</v>
      </c>
      <c r="D32" s="210">
        <v>0</v>
      </c>
      <c r="E32" s="209" t="s">
        <v>19</v>
      </c>
      <c r="F32" s="209">
        <v>0.72</v>
      </c>
      <c r="G32" s="209">
        <v>5000</v>
      </c>
      <c r="H32" s="209">
        <v>0.27800000000000002</v>
      </c>
      <c r="I32" s="209">
        <v>4.478E-2</v>
      </c>
      <c r="J32" s="209">
        <f>Wskaźniki!$C$18</f>
        <v>6.8610000000000004E-2</v>
      </c>
      <c r="K32" s="208">
        <f>D32*F32*G32*H32*I32</f>
        <v>0</v>
      </c>
      <c r="L32" s="208">
        <f>K32*$C$10</f>
        <v>0</v>
      </c>
      <c r="M32" s="208">
        <f>K32*J32</f>
        <v>0</v>
      </c>
    </row>
    <row r="33" spans="2:13">
      <c r="B33" s="1166"/>
      <c r="C33" s="1157"/>
      <c r="D33" s="210">
        <v>9</v>
      </c>
      <c r="E33" s="209" t="s">
        <v>339</v>
      </c>
      <c r="F33" s="209">
        <v>0.82</v>
      </c>
      <c r="G33" s="209">
        <v>5000</v>
      </c>
      <c r="H33" s="209">
        <v>0.27800000000000002</v>
      </c>
      <c r="I33" s="209">
        <v>4.333E-2</v>
      </c>
      <c r="J33" s="209">
        <f>Wskaźniki!$C$21</f>
        <v>7.3330000000000006E-2</v>
      </c>
      <c r="K33" s="208">
        <f>D33*F33*G33*H33*I33</f>
        <v>444.48780600000003</v>
      </c>
      <c r="L33" s="208">
        <f>K33*$C$10</f>
        <v>123.12312226200002</v>
      </c>
      <c r="M33" s="208">
        <f>K33*J33</f>
        <v>32.594290813980002</v>
      </c>
    </row>
    <row r="34" spans="2:13">
      <c r="B34" s="1167"/>
      <c r="C34" s="1158"/>
      <c r="D34" s="210">
        <v>0</v>
      </c>
      <c r="E34" s="209" t="s">
        <v>341</v>
      </c>
      <c r="F34" s="209">
        <v>0.56200000000000006</v>
      </c>
      <c r="G34" s="209">
        <v>5000</v>
      </c>
      <c r="H34" s="209">
        <v>0.27800000000000002</v>
      </c>
      <c r="I34" s="209">
        <v>4.7309999999999998E-2</v>
      </c>
      <c r="J34" s="209">
        <f>Wskaźniki!$C$15</f>
        <v>6.2440000000000002E-2</v>
      </c>
      <c r="K34" s="208">
        <f>D34*F34*G34*H34*I34</f>
        <v>0</v>
      </c>
      <c r="L34" s="208">
        <f>K34*$C$10</f>
        <v>0</v>
      </c>
      <c r="M34" s="208">
        <f>K34*J34</f>
        <v>0</v>
      </c>
    </row>
    <row r="35" spans="2:13" ht="15" customHeight="1">
      <c r="B35" s="1162" t="s">
        <v>3</v>
      </c>
      <c r="C35" s="1163"/>
      <c r="D35" s="1163"/>
      <c r="E35" s="1163"/>
      <c r="F35" s="1163"/>
      <c r="G35" s="1163"/>
      <c r="H35" s="1163"/>
      <c r="I35" s="1163"/>
      <c r="J35" s="1164"/>
      <c r="K35" s="220">
        <f>SUM(K32:K34)</f>
        <v>444.48780600000003</v>
      </c>
      <c r="L35" s="220">
        <f>SUM(L32:L34)</f>
        <v>123.12312226200002</v>
      </c>
      <c r="M35" s="220">
        <f>SUM(M32:M34)</f>
        <v>32.594290813980002</v>
      </c>
    </row>
    <row r="37" spans="2:13" ht="25.5">
      <c r="B37" s="1154" t="str">
        <f>B12</f>
        <v>TRANSPORT KOMERCYJNY AUTOBUSY</v>
      </c>
      <c r="C37" s="219" t="s">
        <v>329</v>
      </c>
      <c r="D37" s="219">
        <v>2028</v>
      </c>
      <c r="E37" s="219" t="s">
        <v>336</v>
      </c>
      <c r="F37" s="219" t="s">
        <v>337</v>
      </c>
      <c r="G37" s="219" t="s">
        <v>317</v>
      </c>
      <c r="H37" s="165"/>
      <c r="I37" s="165"/>
      <c r="J37" s="165"/>
      <c r="K37" s="165"/>
    </row>
    <row r="38" spans="2:13">
      <c r="B38" s="1154"/>
      <c r="C38" s="1156">
        <f>C32</f>
        <v>9</v>
      </c>
      <c r="D38" s="209" t="s">
        <v>19</v>
      </c>
      <c r="E38" s="208">
        <f>K32</f>
        <v>0</v>
      </c>
      <c r="F38" s="208">
        <f t="shared" ref="F38:G40" si="2">L32</f>
        <v>0</v>
      </c>
      <c r="G38" s="208">
        <f t="shared" si="2"/>
        <v>0</v>
      </c>
      <c r="H38" s="165"/>
      <c r="I38" s="165"/>
      <c r="J38" s="165"/>
      <c r="K38" s="165"/>
    </row>
    <row r="39" spans="2:13">
      <c r="B39" s="1154"/>
      <c r="C39" s="1159"/>
      <c r="D39" s="209" t="s">
        <v>339</v>
      </c>
      <c r="E39" s="208">
        <f>K33</f>
        <v>444.48780600000003</v>
      </c>
      <c r="F39" s="208">
        <f t="shared" si="2"/>
        <v>123.12312226200002</v>
      </c>
      <c r="G39" s="208">
        <f t="shared" si="2"/>
        <v>32.594290813980002</v>
      </c>
      <c r="H39" s="165"/>
      <c r="I39" s="165"/>
      <c r="J39" s="165"/>
      <c r="K39" s="165"/>
    </row>
    <row r="40" spans="2:13">
      <c r="B40" s="1154"/>
      <c r="C40" s="1160"/>
      <c r="D40" s="209" t="s">
        <v>341</v>
      </c>
      <c r="E40" s="208">
        <f>K34</f>
        <v>0</v>
      </c>
      <c r="F40" s="208">
        <f t="shared" si="2"/>
        <v>0</v>
      </c>
      <c r="G40" s="208">
        <f t="shared" si="2"/>
        <v>0</v>
      </c>
    </row>
    <row r="41" spans="2:13">
      <c r="B41" s="1154" t="s">
        <v>3</v>
      </c>
      <c r="C41" s="1154"/>
      <c r="D41" s="1154"/>
      <c r="E41" s="220">
        <f>SUM(E38:E40)</f>
        <v>444.48780600000003</v>
      </c>
      <c r="F41" s="220">
        <f>SUM(F38:F40)</f>
        <v>123.12312226200002</v>
      </c>
      <c r="G41" s="220">
        <f>SUM(G38:G40)</f>
        <v>32.594290813980002</v>
      </c>
    </row>
  </sheetData>
  <mergeCells count="19">
    <mergeCell ref="B3:B5"/>
    <mergeCell ref="C3:C5"/>
    <mergeCell ref="B6:J6"/>
    <mergeCell ref="B8:D8"/>
    <mergeCell ref="B12:B15"/>
    <mergeCell ref="C13:C15"/>
    <mergeCell ref="B41:D41"/>
    <mergeCell ref="B16:D16"/>
    <mergeCell ref="B32:B34"/>
    <mergeCell ref="C32:C34"/>
    <mergeCell ref="B35:J35"/>
    <mergeCell ref="B37:B40"/>
    <mergeCell ref="C38:C40"/>
    <mergeCell ref="B19:B21"/>
    <mergeCell ref="C19:C21"/>
    <mergeCell ref="B22:J22"/>
    <mergeCell ref="B24:B27"/>
    <mergeCell ref="C25:C27"/>
    <mergeCell ref="B28:D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1:AJ124"/>
  <sheetViews>
    <sheetView showGridLines="0" view="pageBreakPreview" topLeftCell="G97" zoomScale="74" zoomScaleNormal="90" zoomScaleSheetLayoutView="74" workbookViewId="0">
      <selection activeCell="E27" sqref="B14:E27"/>
    </sheetView>
  </sheetViews>
  <sheetFormatPr defaultRowHeight="15"/>
  <cols>
    <col min="1" max="1" width="2.5" style="6" customWidth="1"/>
    <col min="2" max="2" width="17.5" style="6" customWidth="1"/>
    <col min="3" max="4" width="7.5" style="6" customWidth="1"/>
    <col min="5" max="22" width="6" style="6" customWidth="1"/>
    <col min="23" max="29" width="7" style="6" customWidth="1"/>
    <col min="30" max="35" width="8.625" style="6" bestFit="1" customWidth="1"/>
    <col min="36" max="36" width="7" style="6" customWidth="1"/>
    <col min="37" max="16384" width="9" style="6"/>
  </cols>
  <sheetData>
    <row r="1" spans="2:36" s="9" customFormat="1" ht="15" customHeight="1" thickBot="1"/>
    <row r="2" spans="2:36" s="9" customFormat="1" ht="19.5" thickBot="1">
      <c r="B2" s="10" t="s">
        <v>22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2"/>
    </row>
    <row r="3" spans="2:36" s="9" customFormat="1" ht="19.5" thickBot="1"/>
    <row r="4" spans="2:36" s="9" customFormat="1" ht="19.5" thickBot="1">
      <c r="B4" s="44" t="s">
        <v>36</v>
      </c>
      <c r="C4" s="4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36" s="9" customFormat="1" ht="19.5" thickBot="1">
      <c r="B5" s="48" t="s">
        <v>9</v>
      </c>
      <c r="C5" s="49">
        <v>2005</v>
      </c>
      <c r="D5" s="49">
        <v>2006</v>
      </c>
      <c r="E5" s="49">
        <v>2007</v>
      </c>
      <c r="F5" s="49">
        <v>2008</v>
      </c>
      <c r="G5" s="49">
        <v>2009</v>
      </c>
      <c r="H5" s="49">
        <v>2010</v>
      </c>
      <c r="I5" s="49">
        <v>2011</v>
      </c>
      <c r="J5" s="49">
        <v>2012</v>
      </c>
      <c r="K5" s="49">
        <v>2013</v>
      </c>
      <c r="L5" s="49">
        <v>2014</v>
      </c>
      <c r="M5" s="49">
        <v>2015</v>
      </c>
      <c r="N5" s="49">
        <v>2016</v>
      </c>
      <c r="O5" s="49">
        <v>2017</v>
      </c>
      <c r="P5" s="49">
        <v>2018</v>
      </c>
      <c r="Q5" s="49">
        <v>2019</v>
      </c>
      <c r="R5" s="49">
        <v>2020</v>
      </c>
      <c r="S5" s="49">
        <v>2021</v>
      </c>
      <c r="T5" s="49">
        <v>2022</v>
      </c>
      <c r="U5" s="49">
        <v>2023</v>
      </c>
      <c r="V5" s="49">
        <v>2024</v>
      </c>
    </row>
    <row r="6" spans="2:36" ht="15.75" thickBot="1"/>
    <row r="7" spans="2:36" ht="15.75" thickBot="1">
      <c r="B7" s="44" t="s">
        <v>23</v>
      </c>
      <c r="C7" s="45"/>
      <c r="AB7" s="1060" t="s">
        <v>28</v>
      </c>
      <c r="AC7" s="1061"/>
      <c r="AD7" s="1061"/>
      <c r="AE7" s="1061"/>
      <c r="AF7" s="1062"/>
    </row>
    <row r="8" spans="2:36">
      <c r="B8" s="36" t="s">
        <v>9</v>
      </c>
      <c r="C8" s="37">
        <v>2005</v>
      </c>
      <c r="D8" s="37">
        <v>2006</v>
      </c>
      <c r="E8" s="37">
        <v>2007</v>
      </c>
      <c r="F8" s="37">
        <v>2008</v>
      </c>
      <c r="G8" s="37">
        <v>2009</v>
      </c>
      <c r="H8" s="37">
        <v>2010</v>
      </c>
      <c r="I8" s="37">
        <v>2011</v>
      </c>
      <c r="J8" s="37">
        <v>2012</v>
      </c>
      <c r="K8" s="47">
        <v>2013</v>
      </c>
      <c r="L8" s="37">
        <v>2014</v>
      </c>
      <c r="M8" s="37">
        <v>2015</v>
      </c>
      <c r="N8" s="37">
        <v>2016</v>
      </c>
      <c r="O8" s="37">
        <v>2017</v>
      </c>
      <c r="P8" s="37">
        <v>2018</v>
      </c>
      <c r="Q8" s="38">
        <v>2019</v>
      </c>
      <c r="R8" s="1054" t="s">
        <v>27</v>
      </c>
      <c r="S8" s="1055"/>
      <c r="T8" s="1055"/>
      <c r="U8" s="1056"/>
      <c r="AB8" s="1076" t="s">
        <v>9</v>
      </c>
      <c r="AC8" s="1077"/>
      <c r="AD8" s="37">
        <v>2015</v>
      </c>
      <c r="AE8" s="37">
        <v>2016</v>
      </c>
      <c r="AF8" s="37">
        <v>2017</v>
      </c>
      <c r="AG8" s="37">
        <v>2018</v>
      </c>
      <c r="AH8" s="37">
        <v>2019</v>
      </c>
      <c r="AI8" s="37">
        <v>2020</v>
      </c>
    </row>
    <row r="9" spans="2:36" ht="30.75" customHeight="1" thickBot="1">
      <c r="B9" s="361" t="s">
        <v>38</v>
      </c>
      <c r="C9" s="362">
        <v>10869</v>
      </c>
      <c r="D9" s="363">
        <v>10907</v>
      </c>
      <c r="E9" s="363">
        <v>10863</v>
      </c>
      <c r="F9" s="363">
        <v>10874</v>
      </c>
      <c r="G9" s="363">
        <v>10846</v>
      </c>
      <c r="H9" s="363">
        <v>10944</v>
      </c>
      <c r="I9" s="363">
        <v>10880</v>
      </c>
      <c r="J9" s="363">
        <v>10791</v>
      </c>
      <c r="K9" s="363">
        <v>10791</v>
      </c>
      <c r="L9" s="635">
        <v>10719</v>
      </c>
      <c r="M9" s="644">
        <v>10683</v>
      </c>
      <c r="N9" s="645">
        <v>10526</v>
      </c>
      <c r="O9" s="645">
        <v>10586</v>
      </c>
      <c r="P9" s="645">
        <v>10596</v>
      </c>
      <c r="Q9" s="645">
        <v>10618</v>
      </c>
      <c r="R9" s="1057">
        <f>(Q9/L9)^(1/5)-1</f>
        <v>-1.8916472853360844E-3</v>
      </c>
      <c r="S9" s="1058"/>
      <c r="T9" s="1058"/>
      <c r="U9" s="1059"/>
      <c r="AB9" s="1074" t="s">
        <v>38</v>
      </c>
      <c r="AC9" s="1075"/>
      <c r="AD9" s="50">
        <f>INT(L9*(1+R9))</f>
        <v>10698</v>
      </c>
      <c r="AE9" s="50">
        <f>INT(AD9*(1+R9))</f>
        <v>10677</v>
      </c>
      <c r="AF9" s="50">
        <f>INT(AE9*(1+R9))</f>
        <v>10656</v>
      </c>
      <c r="AG9" s="50">
        <f>INT(AF9*(1+R9))</f>
        <v>10635</v>
      </c>
      <c r="AH9" s="50">
        <f>INT(AG9*(1+R9))</f>
        <v>10614</v>
      </c>
      <c r="AI9" s="50">
        <f>INT(AH9*(1+R9))</f>
        <v>10593</v>
      </c>
    </row>
    <row r="25" spans="2:35" ht="15.75" thickBot="1"/>
    <row r="26" spans="2:35" ht="15.75" thickBot="1">
      <c r="B26" s="44" t="s">
        <v>34</v>
      </c>
      <c r="C26" s="45"/>
      <c r="AB26" s="1060" t="s">
        <v>35</v>
      </c>
      <c r="AC26" s="1061"/>
      <c r="AD26" s="1061"/>
      <c r="AE26" s="1061"/>
      <c r="AF26" s="1062"/>
    </row>
    <row r="27" spans="2:35">
      <c r="B27" s="36" t="s">
        <v>9</v>
      </c>
      <c r="C27" s="37">
        <v>2005</v>
      </c>
      <c r="D27" s="37">
        <v>2006</v>
      </c>
      <c r="E27" s="37">
        <v>2007</v>
      </c>
      <c r="F27" s="37">
        <v>2008</v>
      </c>
      <c r="G27" s="37">
        <v>2009</v>
      </c>
      <c r="H27" s="37">
        <v>2010</v>
      </c>
      <c r="I27" s="37">
        <v>2011</v>
      </c>
      <c r="J27" s="47">
        <v>2012</v>
      </c>
      <c r="K27" s="37">
        <v>2013</v>
      </c>
      <c r="L27" s="37">
        <v>2014</v>
      </c>
      <c r="M27" s="37">
        <v>2015</v>
      </c>
      <c r="N27" s="37">
        <v>2016</v>
      </c>
      <c r="O27" s="37">
        <v>2017</v>
      </c>
      <c r="P27" s="37">
        <v>2018</v>
      </c>
      <c r="Q27" s="38">
        <v>2019</v>
      </c>
      <c r="R27" s="1054" t="s">
        <v>27</v>
      </c>
      <c r="S27" s="1055"/>
      <c r="T27" s="1055"/>
      <c r="U27" s="1056"/>
      <c r="AB27" s="1063" t="s">
        <v>9</v>
      </c>
      <c r="AC27" s="1064"/>
      <c r="AD27" s="37">
        <v>2015</v>
      </c>
      <c r="AE27" s="37">
        <v>2016</v>
      </c>
      <c r="AF27" s="37">
        <v>2017</v>
      </c>
      <c r="AG27" s="37">
        <v>2018</v>
      </c>
      <c r="AH27" s="37">
        <v>2019</v>
      </c>
      <c r="AI27" s="37">
        <v>2020</v>
      </c>
    </row>
    <row r="28" spans="2:35" ht="15.75" thickBot="1">
      <c r="B28" s="39" t="s">
        <v>37</v>
      </c>
      <c r="C28" s="638">
        <v>4696</v>
      </c>
      <c r="D28" s="639">
        <v>4765</v>
      </c>
      <c r="E28" s="639">
        <v>4773</v>
      </c>
      <c r="F28" s="639">
        <v>4883</v>
      </c>
      <c r="G28" s="639">
        <v>4932</v>
      </c>
      <c r="H28" s="639">
        <v>4967</v>
      </c>
      <c r="I28" s="639">
        <v>5016</v>
      </c>
      <c r="J28" s="635">
        <v>5034</v>
      </c>
      <c r="K28" s="636">
        <v>5112</v>
      </c>
      <c r="L28" s="636">
        <v>5115</v>
      </c>
      <c r="M28" s="638">
        <v>5162</v>
      </c>
      <c r="N28" s="639">
        <v>5227</v>
      </c>
      <c r="O28" s="639">
        <v>5330</v>
      </c>
      <c r="P28" s="639">
        <v>5372</v>
      </c>
      <c r="Q28" s="646" t="s">
        <v>591</v>
      </c>
      <c r="R28" s="1057">
        <f>(P28/L28)^(1/4)-1</f>
        <v>1.2331128897747679E-2</v>
      </c>
      <c r="S28" s="1058"/>
      <c r="T28" s="1058"/>
      <c r="U28" s="1059"/>
      <c r="AB28" s="1065" t="s">
        <v>37</v>
      </c>
      <c r="AC28" s="1066"/>
      <c r="AD28" s="50">
        <f>INT(L28*(1+R28))</f>
        <v>5178</v>
      </c>
      <c r="AE28" s="50">
        <f>INT(AD28*(1+R28))</f>
        <v>5241</v>
      </c>
      <c r="AF28" s="50">
        <f>INT(AE28*(1+R28))</f>
        <v>5305</v>
      </c>
      <c r="AG28" s="50">
        <f>INT(AF28*(1+R28))</f>
        <v>5370</v>
      </c>
      <c r="AH28" s="50">
        <f>INT(AG28*(1+R28))</f>
        <v>5436</v>
      </c>
      <c r="AI28" s="50">
        <f>INT(AH28*(1+R28))</f>
        <v>5503</v>
      </c>
    </row>
    <row r="45" spans="2:21" ht="15.75" thickBot="1"/>
    <row r="46" spans="2:21" ht="15.75" thickBot="1">
      <c r="B46" s="44" t="s">
        <v>24</v>
      </c>
      <c r="C46" s="45"/>
      <c r="R46" s="114"/>
      <c r="S46" s="114"/>
      <c r="T46" s="114"/>
      <c r="U46" s="114"/>
    </row>
    <row r="47" spans="2:21">
      <c r="B47" s="36" t="s">
        <v>9</v>
      </c>
      <c r="C47" s="37">
        <v>2005</v>
      </c>
      <c r="D47" s="37">
        <v>2006</v>
      </c>
      <c r="E47" s="37">
        <v>2007</v>
      </c>
      <c r="F47" s="37">
        <v>2008</v>
      </c>
      <c r="G47" s="37">
        <v>2009</v>
      </c>
      <c r="H47" s="37">
        <v>2010</v>
      </c>
      <c r="I47" s="37">
        <v>2011</v>
      </c>
      <c r="J47" s="37">
        <v>2012</v>
      </c>
      <c r="K47" s="47">
        <v>2013</v>
      </c>
      <c r="L47" s="37">
        <v>2014</v>
      </c>
      <c r="M47" s="37">
        <v>2015</v>
      </c>
      <c r="N47" s="37">
        <v>2016</v>
      </c>
      <c r="O47" s="37">
        <v>2017</v>
      </c>
      <c r="P47" s="37">
        <v>2018</v>
      </c>
      <c r="Q47" s="38">
        <v>2019</v>
      </c>
      <c r="R47" s="1071"/>
      <c r="S47" s="1071"/>
      <c r="T47" s="1071"/>
      <c r="U47" s="1071"/>
    </row>
    <row r="48" spans="2:21" ht="15.75" customHeight="1" thickBot="1">
      <c r="B48" s="39" t="s">
        <v>29</v>
      </c>
      <c r="C48" s="115">
        <v>24</v>
      </c>
      <c r="D48" s="115">
        <v>84</v>
      </c>
      <c r="E48" s="115">
        <v>20</v>
      </c>
      <c r="F48" s="115">
        <v>60</v>
      </c>
      <c r="G48" s="115">
        <v>112</v>
      </c>
      <c r="H48" s="115">
        <v>85</v>
      </c>
      <c r="I48" s="115">
        <v>51</v>
      </c>
      <c r="J48" s="115">
        <v>21</v>
      </c>
      <c r="K48" s="115">
        <v>92</v>
      </c>
      <c r="L48" s="640">
        <v>10</v>
      </c>
      <c r="M48" s="640">
        <v>49</v>
      </c>
      <c r="N48" s="640">
        <v>73</v>
      </c>
      <c r="O48" s="640">
        <v>106</v>
      </c>
      <c r="P48" s="640">
        <v>46</v>
      </c>
      <c r="Q48" s="641">
        <v>24</v>
      </c>
      <c r="R48" s="1070"/>
      <c r="S48" s="1070"/>
      <c r="T48" s="1070"/>
      <c r="U48" s="1070"/>
    </row>
    <row r="49" spans="18:23">
      <c r="R49" s="114"/>
      <c r="S49" s="114"/>
      <c r="T49" s="114"/>
      <c r="U49" s="114"/>
      <c r="W49" s="95"/>
    </row>
    <row r="50" spans="18:23">
      <c r="R50" s="114"/>
      <c r="S50" s="114"/>
      <c r="T50" s="114"/>
      <c r="U50" s="114"/>
    </row>
    <row r="64" spans="18:23" ht="15.75" thickBot="1"/>
    <row r="65" spans="2:35" ht="18" thickBot="1">
      <c r="B65" s="41" t="s">
        <v>25</v>
      </c>
      <c r="C65" s="42"/>
      <c r="D65" s="43"/>
      <c r="AB65" s="1060" t="s">
        <v>30</v>
      </c>
      <c r="AC65" s="1061"/>
      <c r="AD65" s="1061"/>
      <c r="AE65" s="1061"/>
      <c r="AF65" s="1062"/>
    </row>
    <row r="66" spans="2:35">
      <c r="B66" s="40" t="s">
        <v>9</v>
      </c>
      <c r="C66" s="37">
        <v>2005</v>
      </c>
      <c r="D66" s="37">
        <v>2006</v>
      </c>
      <c r="E66" s="37">
        <v>2007</v>
      </c>
      <c r="F66" s="37">
        <v>2008</v>
      </c>
      <c r="G66" s="37">
        <v>2009</v>
      </c>
      <c r="H66" s="37">
        <v>2010</v>
      </c>
      <c r="I66" s="37">
        <v>2011</v>
      </c>
      <c r="J66" s="37">
        <v>2012</v>
      </c>
      <c r="K66" s="47">
        <v>2013</v>
      </c>
      <c r="L66" s="37">
        <v>2014</v>
      </c>
      <c r="M66" s="37">
        <v>2015</v>
      </c>
      <c r="N66" s="37">
        <v>2016</v>
      </c>
      <c r="O66" s="37">
        <v>2017</v>
      </c>
      <c r="P66" s="37">
        <v>2018</v>
      </c>
      <c r="Q66" s="38">
        <v>2019</v>
      </c>
      <c r="R66" s="1054" t="s">
        <v>27</v>
      </c>
      <c r="S66" s="1055"/>
      <c r="T66" s="1055"/>
      <c r="U66" s="1056"/>
      <c r="AB66" s="1063" t="s">
        <v>9</v>
      </c>
      <c r="AC66" s="1064"/>
      <c r="AD66" s="37">
        <v>2015</v>
      </c>
      <c r="AE66" s="37">
        <v>2016</v>
      </c>
      <c r="AF66" s="37">
        <v>2017</v>
      </c>
      <c r="AG66" s="37">
        <v>2018</v>
      </c>
      <c r="AH66" s="37">
        <v>2019</v>
      </c>
      <c r="AI66" s="37">
        <v>2020</v>
      </c>
    </row>
    <row r="67" spans="2:35" ht="30.75" thickBot="1">
      <c r="B67" s="39" t="s">
        <v>40</v>
      </c>
      <c r="C67" s="638">
        <v>333934</v>
      </c>
      <c r="D67" s="639">
        <v>338056</v>
      </c>
      <c r="E67" s="639">
        <v>339240</v>
      </c>
      <c r="F67" s="639">
        <v>344820</v>
      </c>
      <c r="G67" s="639">
        <v>352841</v>
      </c>
      <c r="H67" s="639">
        <v>360198</v>
      </c>
      <c r="I67" s="639">
        <v>363498</v>
      </c>
      <c r="J67" s="639">
        <v>365890</v>
      </c>
      <c r="K67" s="639">
        <v>371679</v>
      </c>
      <c r="L67" s="635">
        <v>372656</v>
      </c>
      <c r="M67" s="636">
        <v>375271</v>
      </c>
      <c r="N67" s="636">
        <v>379958</v>
      </c>
      <c r="O67" s="636">
        <v>386716</v>
      </c>
      <c r="P67" s="636">
        <v>390805</v>
      </c>
      <c r="Q67" s="637" t="s">
        <v>591</v>
      </c>
      <c r="R67" s="1057">
        <f>(P67/L67)^(1/4)-1</f>
        <v>1.1959189088503797E-2</v>
      </c>
      <c r="S67" s="1058"/>
      <c r="T67" s="1058"/>
      <c r="U67" s="1059"/>
      <c r="AB67" s="1065" t="s">
        <v>39</v>
      </c>
      <c r="AC67" s="1066"/>
      <c r="AD67" s="50">
        <f>INT(L67*(1+R67))</f>
        <v>377112</v>
      </c>
      <c r="AE67" s="50">
        <f>INT(AD67*(1+R67))</f>
        <v>381621</v>
      </c>
      <c r="AF67" s="50">
        <f>INT(AE67*(1+R67))</f>
        <v>386184</v>
      </c>
      <c r="AG67" s="50">
        <f>INT(AF67*(1+R67))</f>
        <v>390802</v>
      </c>
      <c r="AH67" s="50">
        <f>INT(AG67*(1+R67))</f>
        <v>395475</v>
      </c>
      <c r="AI67" s="50">
        <f>INT(AH67*(1+R67))</f>
        <v>400204</v>
      </c>
    </row>
    <row r="83" spans="2:35" ht="15.75" thickBot="1"/>
    <row r="84" spans="2:35" ht="18" thickBot="1">
      <c r="B84" s="41" t="s">
        <v>72</v>
      </c>
      <c r="C84" s="42"/>
      <c r="D84" s="43"/>
      <c r="AB84" s="1067" t="s">
        <v>88</v>
      </c>
      <c r="AC84" s="1068"/>
      <c r="AD84" s="1068"/>
      <c r="AE84" s="1068"/>
      <c r="AF84" s="1068"/>
      <c r="AG84" s="1069"/>
      <c r="AH84" s="92"/>
      <c r="AI84" s="92"/>
    </row>
    <row r="85" spans="2:35">
      <c r="B85" s="40" t="s">
        <v>9</v>
      </c>
      <c r="C85" s="37">
        <v>2005</v>
      </c>
      <c r="D85" s="37">
        <v>2006</v>
      </c>
      <c r="E85" s="37">
        <v>2007</v>
      </c>
      <c r="F85" s="37">
        <v>2008</v>
      </c>
      <c r="G85" s="37">
        <v>2009</v>
      </c>
      <c r="H85" s="37">
        <v>2010</v>
      </c>
      <c r="I85" s="37">
        <v>2011</v>
      </c>
      <c r="J85" s="37">
        <v>2012</v>
      </c>
      <c r="K85" s="37">
        <v>2013</v>
      </c>
      <c r="L85" s="37">
        <v>2014</v>
      </c>
      <c r="M85" s="37">
        <v>2015</v>
      </c>
      <c r="N85" s="37">
        <v>2016</v>
      </c>
      <c r="O85" s="37">
        <v>2017</v>
      </c>
      <c r="P85" s="37">
        <v>2018</v>
      </c>
      <c r="Q85" s="38">
        <v>2019</v>
      </c>
      <c r="R85" s="1054" t="s">
        <v>27</v>
      </c>
      <c r="S85" s="1055"/>
      <c r="T85" s="1055"/>
      <c r="U85" s="1056"/>
      <c r="AB85" s="1063" t="s">
        <v>9</v>
      </c>
      <c r="AC85" s="1064"/>
      <c r="AD85" s="37">
        <v>2015</v>
      </c>
      <c r="AE85" s="37">
        <v>2016</v>
      </c>
      <c r="AF85" s="37">
        <v>2017</v>
      </c>
      <c r="AG85" s="37">
        <v>2018</v>
      </c>
      <c r="AH85" s="37">
        <v>2019</v>
      </c>
      <c r="AI85" s="38">
        <v>2020</v>
      </c>
    </row>
    <row r="86" spans="2:35" ht="30.75" customHeight="1" thickBot="1">
      <c r="B86" s="39" t="s">
        <v>31</v>
      </c>
      <c r="C86" s="51">
        <f t="shared" ref="C86:L86" si="0">C67/C28</f>
        <v>71.110306643952299</v>
      </c>
      <c r="D86" s="51">
        <f t="shared" si="0"/>
        <v>70.945645330535157</v>
      </c>
      <c r="E86" s="51">
        <f t="shared" si="0"/>
        <v>71.074795725958523</v>
      </c>
      <c r="F86" s="51">
        <f t="shared" si="0"/>
        <v>70.616424329305758</v>
      </c>
      <c r="G86" s="51">
        <f t="shared" si="0"/>
        <v>71.541159772911598</v>
      </c>
      <c r="H86" s="51">
        <f t="shared" si="0"/>
        <v>72.518220253674244</v>
      </c>
      <c r="I86" s="51">
        <f t="shared" si="0"/>
        <v>72.467703349282303</v>
      </c>
      <c r="J86" s="51">
        <f t="shared" si="0"/>
        <v>72.683750496622963</v>
      </c>
      <c r="K86" s="51">
        <f t="shared" si="0"/>
        <v>72.707159624413151</v>
      </c>
      <c r="L86" s="51">
        <f t="shared" si="0"/>
        <v>72.855522971652007</v>
      </c>
      <c r="M86" s="634">
        <v>72.698760170476561</v>
      </c>
      <c r="N86" s="634">
        <v>72.691409986607994</v>
      </c>
      <c r="O86" s="634">
        <v>72.554596622889306</v>
      </c>
      <c r="P86" s="634">
        <v>72.74851079672375</v>
      </c>
      <c r="Q86" s="634" t="s">
        <v>591</v>
      </c>
      <c r="R86" s="1057">
        <f>(P86/L86)^(1/4)-1</f>
        <v>-3.674092385649308E-4</v>
      </c>
      <c r="S86" s="1058"/>
      <c r="T86" s="1058"/>
      <c r="U86" s="1059"/>
      <c r="AB86" s="1065" t="s">
        <v>31</v>
      </c>
      <c r="AC86" s="1066"/>
      <c r="AD86" s="93">
        <f t="shared" ref="AD86:AI86" si="1">AD67/AD28</f>
        <v>72.829663962920051</v>
      </c>
      <c r="AE86" s="93">
        <f t="shared" si="1"/>
        <v>72.814539210074415</v>
      </c>
      <c r="AF86" s="93">
        <f t="shared" si="1"/>
        <v>72.796229971724784</v>
      </c>
      <c r="AG86" s="93">
        <f t="shared" si="1"/>
        <v>72.775046554934818</v>
      </c>
      <c r="AH86" s="93">
        <f t="shared" si="1"/>
        <v>72.751103752759377</v>
      </c>
      <c r="AI86" s="94">
        <f t="shared" si="1"/>
        <v>72.7246956205706</v>
      </c>
    </row>
    <row r="102" spans="2:30" ht="15.75" thickBot="1"/>
    <row r="103" spans="2:30" ht="15.75" thickBot="1">
      <c r="B103" s="46" t="s">
        <v>26</v>
      </c>
      <c r="C103" s="43"/>
      <c r="D103" s="43"/>
      <c r="W103" s="1072" t="s">
        <v>32</v>
      </c>
      <c r="X103" s="1072"/>
      <c r="Y103" s="1072"/>
      <c r="Z103" s="1072"/>
      <c r="AA103" s="1073"/>
    </row>
    <row r="104" spans="2:30">
      <c r="B104" s="40" t="s">
        <v>9</v>
      </c>
      <c r="C104" s="37">
        <v>2005</v>
      </c>
      <c r="D104" s="37">
        <v>2006</v>
      </c>
      <c r="E104" s="37">
        <v>2007</v>
      </c>
      <c r="F104" s="37">
        <v>2008</v>
      </c>
      <c r="G104" s="37">
        <v>2009</v>
      </c>
      <c r="H104" s="37">
        <v>2010</v>
      </c>
      <c r="I104" s="37">
        <v>2011</v>
      </c>
      <c r="J104" s="37">
        <v>2012</v>
      </c>
      <c r="K104" s="37">
        <v>2013</v>
      </c>
      <c r="L104" s="37">
        <v>2014</v>
      </c>
      <c r="M104" s="37">
        <v>2015</v>
      </c>
      <c r="N104" s="37">
        <v>2016</v>
      </c>
      <c r="O104" s="37">
        <v>2017</v>
      </c>
      <c r="P104" s="37">
        <v>2018</v>
      </c>
      <c r="Q104" s="38">
        <v>2019</v>
      </c>
      <c r="R104" s="1054" t="s">
        <v>27</v>
      </c>
      <c r="S104" s="1055"/>
      <c r="T104" s="1055"/>
      <c r="U104" s="1056"/>
      <c r="W104" s="1063" t="s">
        <v>9</v>
      </c>
      <c r="X104" s="1064"/>
      <c r="Y104" s="37">
        <v>2015</v>
      </c>
      <c r="Z104" s="37">
        <v>2016</v>
      </c>
      <c r="AA104" s="37">
        <v>2017</v>
      </c>
      <c r="AB104" s="37">
        <v>2018</v>
      </c>
      <c r="AC104" s="37">
        <v>2019</v>
      </c>
      <c r="AD104" s="37">
        <v>2020</v>
      </c>
    </row>
    <row r="105" spans="2:30" ht="30.75" customHeight="1" thickBot="1">
      <c r="B105" s="39" t="s">
        <v>33</v>
      </c>
      <c r="C105" s="642">
        <v>1504</v>
      </c>
      <c r="D105" s="642">
        <v>1485</v>
      </c>
      <c r="E105" s="642">
        <v>1471</v>
      </c>
      <c r="F105" s="642">
        <v>1507</v>
      </c>
      <c r="G105" s="642">
        <v>1459</v>
      </c>
      <c r="H105" s="642">
        <v>1521</v>
      </c>
      <c r="I105" s="642">
        <v>1526</v>
      </c>
      <c r="J105" s="642">
        <v>1545</v>
      </c>
      <c r="K105" s="642">
        <v>1502</v>
      </c>
      <c r="L105" s="642">
        <v>1472</v>
      </c>
      <c r="M105" s="642">
        <v>1459</v>
      </c>
      <c r="N105" s="642">
        <v>1484</v>
      </c>
      <c r="O105" s="642">
        <v>1589</v>
      </c>
      <c r="P105" s="642">
        <v>1679</v>
      </c>
      <c r="Q105" s="643">
        <v>1889</v>
      </c>
      <c r="R105" s="1057">
        <f>(Q105/L105)^(1/5)-1</f>
        <v>5.1150326606588248E-2</v>
      </c>
      <c r="S105" s="1058"/>
      <c r="T105" s="1058"/>
      <c r="U105" s="1059"/>
      <c r="W105" s="1065" t="s">
        <v>33</v>
      </c>
      <c r="X105" s="1066"/>
      <c r="Y105" s="50">
        <v>1459</v>
      </c>
      <c r="Z105" s="50">
        <f>INT(Y105*(1+R105))</f>
        <v>1533</v>
      </c>
      <c r="AA105" s="50">
        <f>INT(Z105*(1+R105))</f>
        <v>1611</v>
      </c>
      <c r="AB105" s="50">
        <f>INT(AA105*(1+R105))</f>
        <v>1693</v>
      </c>
      <c r="AC105" s="50">
        <f>INT(AB105*(1+R105))</f>
        <v>1779</v>
      </c>
      <c r="AD105" s="50">
        <f>INT(AC105*(1+R105))</f>
        <v>1869</v>
      </c>
    </row>
    <row r="109" spans="2:30">
      <c r="U109" s="96"/>
    </row>
    <row r="124" spans="18:18">
      <c r="R124" s="131"/>
    </row>
  </sheetData>
  <mergeCells count="27">
    <mergeCell ref="R48:U48"/>
    <mergeCell ref="R47:U47"/>
    <mergeCell ref="W103:AA103"/>
    <mergeCell ref="R86:U86"/>
    <mergeCell ref="AB7:AF7"/>
    <mergeCell ref="AB26:AF26"/>
    <mergeCell ref="R27:U27"/>
    <mergeCell ref="AB27:AC27"/>
    <mergeCell ref="R28:U28"/>
    <mergeCell ref="R9:U9"/>
    <mergeCell ref="R8:U8"/>
    <mergeCell ref="AB28:AC28"/>
    <mergeCell ref="AB9:AC9"/>
    <mergeCell ref="AB8:AC8"/>
    <mergeCell ref="R104:U104"/>
    <mergeCell ref="R105:U105"/>
    <mergeCell ref="AB65:AF65"/>
    <mergeCell ref="W104:X104"/>
    <mergeCell ref="W105:X105"/>
    <mergeCell ref="AB66:AC66"/>
    <mergeCell ref="AB67:AC67"/>
    <mergeCell ref="R66:U66"/>
    <mergeCell ref="R67:U67"/>
    <mergeCell ref="R85:U85"/>
    <mergeCell ref="AB84:AG84"/>
    <mergeCell ref="AB85:AC85"/>
    <mergeCell ref="AB86:AC8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64" max="30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2:Q50"/>
  <sheetViews>
    <sheetView showGridLines="0" topLeftCell="A10" workbookViewId="0">
      <selection activeCell="P45" sqref="P45"/>
    </sheetView>
  </sheetViews>
  <sheetFormatPr defaultRowHeight="12.75"/>
  <cols>
    <col min="1" max="1" width="5" style="240" customWidth="1"/>
    <col min="2" max="2" width="24.625" style="246" customWidth="1"/>
    <col min="3" max="3" width="12.625" style="246" customWidth="1"/>
    <col min="4" max="4" width="12.125" style="240" customWidth="1"/>
    <col min="5" max="5" width="9.125" style="564" customWidth="1"/>
    <col min="6" max="7" width="9" style="240"/>
    <col min="8" max="10" width="10" style="240" bestFit="1" customWidth="1"/>
    <col min="11" max="11" width="4.625" style="240" customWidth="1"/>
    <col min="12" max="12" width="14.125" style="240" customWidth="1"/>
    <col min="13" max="16384" width="9" style="240"/>
  </cols>
  <sheetData>
    <row r="2" spans="2:17" ht="45.75" customHeight="1">
      <c r="B2" s="556">
        <v>2014</v>
      </c>
      <c r="C2" s="556" t="s">
        <v>354</v>
      </c>
      <c r="D2" s="556" t="s">
        <v>353</v>
      </c>
      <c r="E2" s="556" t="s">
        <v>332</v>
      </c>
      <c r="F2" s="556" t="s">
        <v>335</v>
      </c>
      <c r="G2" s="556" t="s">
        <v>13</v>
      </c>
      <c r="H2" s="556" t="s">
        <v>336</v>
      </c>
      <c r="I2" s="556" t="s">
        <v>337</v>
      </c>
      <c r="J2" s="556" t="s">
        <v>317</v>
      </c>
      <c r="K2" s="224"/>
      <c r="L2" s="1173" t="s">
        <v>45</v>
      </c>
      <c r="M2" s="1173"/>
    </row>
    <row r="3" spans="2:17" ht="16.5" customHeight="1">
      <c r="B3" s="1180" t="s">
        <v>350</v>
      </c>
      <c r="C3" s="556" t="s">
        <v>19</v>
      </c>
      <c r="D3" s="557">
        <f>$M$3*11435</f>
        <v>3316.1499999999996</v>
      </c>
      <c r="E3" s="559">
        <f>Wskaźniki!$C$19</f>
        <v>0.72</v>
      </c>
      <c r="F3" s="558">
        <f>Wskaźniki!$C$17</f>
        <v>4.48E-2</v>
      </c>
      <c r="G3" s="558">
        <f>Wskaźniki!$C$18</f>
        <v>6.8610000000000004E-2</v>
      </c>
      <c r="H3" s="559">
        <f>D3*E3*F3</f>
        <v>106.96573439999999</v>
      </c>
      <c r="I3" s="559">
        <f t="shared" ref="I3:I14" si="0">H3*$C$19</f>
        <v>29.629508428799998</v>
      </c>
      <c r="J3" s="559">
        <f>H3*G3</f>
        <v>7.3389190371839996</v>
      </c>
      <c r="K3" s="229"/>
      <c r="L3" s="230" t="s">
        <v>338</v>
      </c>
      <c r="M3" s="231">
        <v>0.28999999999999998</v>
      </c>
    </row>
    <row r="4" spans="2:17" ht="16.5" customHeight="1">
      <c r="B4" s="1180"/>
      <c r="C4" s="556" t="s">
        <v>339</v>
      </c>
      <c r="D4" s="557">
        <f>$M$4*11435</f>
        <v>8004.4999999999991</v>
      </c>
      <c r="E4" s="559">
        <f>Wskaźniki!$C$19</f>
        <v>0.72</v>
      </c>
      <c r="F4" s="558">
        <f>Wskaźniki!$C$20</f>
        <v>4.333E-2</v>
      </c>
      <c r="G4" s="558">
        <f>Wskaźniki!$C$21</f>
        <v>7.3330000000000006E-2</v>
      </c>
      <c r="H4" s="559">
        <f t="shared" ref="H4:H12" si="1">D4*E4*F4</f>
        <v>249.72118919999994</v>
      </c>
      <c r="I4" s="559">
        <f t="shared" si="0"/>
        <v>69.172769408399986</v>
      </c>
      <c r="J4" s="559">
        <f t="shared" ref="J4:J12" si="2">H4*G4</f>
        <v>18.312054804035999</v>
      </c>
      <c r="K4" s="229"/>
      <c r="L4" s="230" t="s">
        <v>340</v>
      </c>
      <c r="M4" s="231">
        <v>0.7</v>
      </c>
    </row>
    <row r="5" spans="2:17" ht="16.5" customHeight="1">
      <c r="B5" s="1180"/>
      <c r="C5" s="556" t="s">
        <v>341</v>
      </c>
      <c r="D5" s="557">
        <f>$M$5*11435</f>
        <v>114.35000000000001</v>
      </c>
      <c r="E5" s="559">
        <f>Wskaźniki!$C$19</f>
        <v>0.72</v>
      </c>
      <c r="F5" s="558">
        <f>Wskaźniki!$C$14</f>
        <v>4.7309999999999998E-2</v>
      </c>
      <c r="G5" s="558">
        <f>Wskaźniki!$C$15</f>
        <v>6.2440000000000002E-2</v>
      </c>
      <c r="H5" s="559">
        <f t="shared" si="1"/>
        <v>3.89512692</v>
      </c>
      <c r="I5" s="559">
        <f t="shared" si="0"/>
        <v>1.0789501568400002</v>
      </c>
      <c r="J5" s="559">
        <f t="shared" si="2"/>
        <v>0.2432117248848</v>
      </c>
      <c r="K5" s="229"/>
      <c r="L5" s="230" t="s">
        <v>342</v>
      </c>
      <c r="M5" s="231">
        <v>0.01</v>
      </c>
    </row>
    <row r="6" spans="2:17" ht="16.5" customHeight="1">
      <c r="B6" s="1180" t="s">
        <v>351</v>
      </c>
      <c r="C6" s="556" t="s">
        <v>19</v>
      </c>
      <c r="D6" s="557">
        <f>$M$3*40000</f>
        <v>11600</v>
      </c>
      <c r="E6" s="559">
        <f>Wskaźniki!$C$19</f>
        <v>0.72</v>
      </c>
      <c r="F6" s="558">
        <f>Wskaźniki!$C$17</f>
        <v>4.48E-2</v>
      </c>
      <c r="G6" s="558">
        <f>Wskaźniki!$C$18</f>
        <v>6.8610000000000004E-2</v>
      </c>
      <c r="H6" s="559">
        <f t="shared" si="1"/>
        <v>374.1696</v>
      </c>
      <c r="I6" s="559">
        <f t="shared" si="0"/>
        <v>103.64497920000001</v>
      </c>
      <c r="J6" s="559">
        <f t="shared" si="2"/>
        <v>25.671776256000001</v>
      </c>
      <c r="K6" s="229"/>
      <c r="L6" s="232"/>
      <c r="M6" s="233"/>
    </row>
    <row r="7" spans="2:17" ht="16.5" customHeight="1">
      <c r="B7" s="1180"/>
      <c r="C7" s="556" t="s">
        <v>339</v>
      </c>
      <c r="D7" s="557">
        <f>$M$4*40000</f>
        <v>28000</v>
      </c>
      <c r="E7" s="559">
        <f>Wskaźniki!$C$19</f>
        <v>0.72</v>
      </c>
      <c r="F7" s="558">
        <f>Wskaźniki!$C$20</f>
        <v>4.333E-2</v>
      </c>
      <c r="G7" s="558">
        <f>Wskaźniki!$C$21</f>
        <v>7.3330000000000006E-2</v>
      </c>
      <c r="H7" s="559">
        <f>D7*E7*F7</f>
        <v>873.53280000000007</v>
      </c>
      <c r="I7" s="559">
        <f t="shared" si="0"/>
        <v>241.96858560000004</v>
      </c>
      <c r="J7" s="559">
        <f>H7*G7</f>
        <v>64.05616022400001</v>
      </c>
      <c r="K7" s="229"/>
      <c r="L7" s="232"/>
      <c r="M7" s="233"/>
    </row>
    <row r="8" spans="2:17" ht="16.5" customHeight="1">
      <c r="B8" s="1180"/>
      <c r="C8" s="556" t="s">
        <v>341</v>
      </c>
      <c r="D8" s="557">
        <f>$M$5*40000</f>
        <v>400</v>
      </c>
      <c r="E8" s="559">
        <f>Wskaźniki!$C$19</f>
        <v>0.72</v>
      </c>
      <c r="F8" s="558">
        <f>Wskaźniki!$C$14</f>
        <v>4.7309999999999998E-2</v>
      </c>
      <c r="G8" s="558">
        <f>Wskaźniki!$C$15</f>
        <v>6.2440000000000002E-2</v>
      </c>
      <c r="H8" s="559">
        <f>D8*E8*F8</f>
        <v>13.62528</v>
      </c>
      <c r="I8" s="559">
        <f t="shared" si="0"/>
        <v>3.7742025600000004</v>
      </c>
      <c r="J8" s="559">
        <f>H8*G8</f>
        <v>0.85076248320000003</v>
      </c>
      <c r="K8" s="229"/>
      <c r="L8" s="232"/>
      <c r="M8" s="233"/>
    </row>
    <row r="9" spans="2:17" ht="16.5" customHeight="1">
      <c r="B9" s="1180" t="s">
        <v>388</v>
      </c>
      <c r="C9" s="556" t="s">
        <v>19</v>
      </c>
      <c r="D9" s="557">
        <f>$M$3*10637</f>
        <v>3084.7299999999996</v>
      </c>
      <c r="E9" s="559">
        <f>Wskaźniki!$C$19</f>
        <v>0.72</v>
      </c>
      <c r="F9" s="558">
        <f>Wskaźniki!$C$17</f>
        <v>4.48E-2</v>
      </c>
      <c r="G9" s="558">
        <f>Wskaźniki!$C$18</f>
        <v>6.8610000000000004E-2</v>
      </c>
      <c r="H9" s="559">
        <f>D9*E9*F9</f>
        <v>99.50105087999998</v>
      </c>
      <c r="I9" s="559">
        <f t="shared" si="0"/>
        <v>27.561791093759997</v>
      </c>
      <c r="J9" s="559">
        <f>H9*G9</f>
        <v>6.8267671008767987</v>
      </c>
      <c r="K9" s="229"/>
      <c r="L9" s="232"/>
      <c r="M9" s="233"/>
    </row>
    <row r="10" spans="2:17" ht="16.5" customHeight="1">
      <c r="B10" s="1180"/>
      <c r="C10" s="556" t="s">
        <v>339</v>
      </c>
      <c r="D10" s="557">
        <f>$M$3*10637</f>
        <v>3084.7299999999996</v>
      </c>
      <c r="E10" s="559">
        <f>Wskaźniki!$C$19</f>
        <v>0.72</v>
      </c>
      <c r="F10" s="558">
        <f>Wskaźniki!$C$20</f>
        <v>4.333E-2</v>
      </c>
      <c r="G10" s="558">
        <f>Wskaźniki!$C$21</f>
        <v>7.3330000000000006E-2</v>
      </c>
      <c r="H10" s="559">
        <f>D10*E10*F10</f>
        <v>96.236172647999979</v>
      </c>
      <c r="I10" s="559">
        <f t="shared" si="0"/>
        <v>26.657419823495996</v>
      </c>
      <c r="J10" s="559">
        <f>H10*G10</f>
        <v>7.0569985402778395</v>
      </c>
      <c r="K10" s="229"/>
      <c r="L10" s="232"/>
      <c r="M10" s="233"/>
    </row>
    <row r="11" spans="2:17" ht="16.5" customHeight="1">
      <c r="B11" s="1180"/>
      <c r="C11" s="556" t="s">
        <v>341</v>
      </c>
      <c r="D11" s="557">
        <f>$M$3*10637</f>
        <v>3084.7299999999996</v>
      </c>
      <c r="E11" s="559">
        <f>Wskaźniki!$C$19</f>
        <v>0.72</v>
      </c>
      <c r="F11" s="558">
        <v>4.7309999999999998E-2</v>
      </c>
      <c r="G11" s="558">
        <v>6.2440000000000002E-2</v>
      </c>
      <c r="H11" s="559">
        <f>D11*E11*F11</f>
        <v>105.07577493599997</v>
      </c>
      <c r="I11" s="559">
        <f t="shared" si="0"/>
        <v>29.105989657271994</v>
      </c>
      <c r="J11" s="559">
        <f>H11*G11</f>
        <v>6.5609313870038388</v>
      </c>
      <c r="K11" s="229"/>
      <c r="L11" s="232"/>
      <c r="M11" s="233"/>
    </row>
    <row r="12" spans="2:17" ht="16.5" customHeight="1">
      <c r="B12" s="1180" t="s">
        <v>352</v>
      </c>
      <c r="C12" s="556" t="s">
        <v>19</v>
      </c>
      <c r="D12" s="557">
        <f>$M$3*46000</f>
        <v>13339.999999999998</v>
      </c>
      <c r="E12" s="559">
        <f>Wskaźniki!$C$19</f>
        <v>0.72</v>
      </c>
      <c r="F12" s="558">
        <f>Wskaźniki!$C$17</f>
        <v>4.48E-2</v>
      </c>
      <c r="G12" s="558">
        <f>Wskaźniki!$C$18</f>
        <v>6.8610000000000004E-2</v>
      </c>
      <c r="H12" s="559">
        <f t="shared" si="1"/>
        <v>430.29503999999986</v>
      </c>
      <c r="I12" s="559">
        <f t="shared" si="0"/>
        <v>119.19172607999997</v>
      </c>
      <c r="J12" s="559">
        <f t="shared" si="2"/>
        <v>29.522542694399991</v>
      </c>
      <c r="K12" s="229"/>
      <c r="L12" s="232"/>
      <c r="M12" s="233"/>
    </row>
    <row r="13" spans="2:17" ht="16.5" customHeight="1">
      <c r="B13" s="1180"/>
      <c r="C13" s="556" t="s">
        <v>339</v>
      </c>
      <c r="D13" s="557">
        <f>$M$4*46000</f>
        <v>32199.999999999996</v>
      </c>
      <c r="E13" s="559">
        <f>Wskaźniki!$C$19</f>
        <v>0.72</v>
      </c>
      <c r="F13" s="558">
        <f>Wskaźniki!$C$20</f>
        <v>4.333E-2</v>
      </c>
      <c r="G13" s="558">
        <f>Wskaźniki!$C$21</f>
        <v>7.3330000000000006E-2</v>
      </c>
      <c r="H13" s="559">
        <f>D13*E13*F13</f>
        <v>1004.5627199999999</v>
      </c>
      <c r="I13" s="559">
        <f t="shared" si="0"/>
        <v>278.26387344</v>
      </c>
      <c r="J13" s="559">
        <f>H13*G13</f>
        <v>73.664584257599998</v>
      </c>
      <c r="K13" s="229"/>
      <c r="L13" s="232"/>
      <c r="M13" s="233"/>
    </row>
    <row r="14" spans="2:17" ht="16.5" customHeight="1">
      <c r="B14" s="1180"/>
      <c r="C14" s="556" t="s">
        <v>341</v>
      </c>
      <c r="D14" s="557">
        <f>$M$5*46000</f>
        <v>460</v>
      </c>
      <c r="E14" s="559">
        <f>Wskaźniki!$C$19</f>
        <v>0.72</v>
      </c>
      <c r="F14" s="558">
        <v>4.7309999999999998E-2</v>
      </c>
      <c r="G14" s="558">
        <v>6.2440000000000002E-2</v>
      </c>
      <c r="H14" s="559">
        <f>D14*E14*F14</f>
        <v>15.669071999999998</v>
      </c>
      <c r="I14" s="559">
        <f t="shared" si="0"/>
        <v>4.340332944</v>
      </c>
      <c r="J14" s="559">
        <f>H14*G14</f>
        <v>0.97837685567999988</v>
      </c>
      <c r="K14" s="229"/>
      <c r="L14" s="232"/>
      <c r="M14" s="233"/>
    </row>
    <row r="15" spans="2:17" ht="16.5" customHeight="1">
      <c r="B15" s="1180" t="s">
        <v>3</v>
      </c>
      <c r="C15" s="1180"/>
      <c r="D15" s="560">
        <f>SUM(D3:D14)</f>
        <v>106689.18999999999</v>
      </c>
      <c r="E15" s="562"/>
      <c r="F15" s="235"/>
      <c r="G15" s="235"/>
      <c r="H15" s="561">
        <f>SUM(H3:H14)</f>
        <v>3373.2495609839998</v>
      </c>
      <c r="I15" s="561">
        <f>SUM(I3:I14)</f>
        <v>934.39012839256793</v>
      </c>
      <c r="J15" s="561">
        <f>SUM(J3:J14)</f>
        <v>241.08308536514326</v>
      </c>
      <c r="K15" s="224"/>
      <c r="L15" s="237"/>
      <c r="M15" s="237"/>
      <c r="N15" s="237"/>
      <c r="O15" s="241"/>
      <c r="P15" s="238"/>
      <c r="Q15" s="239"/>
    </row>
    <row r="16" spans="2:17" ht="15" customHeight="1">
      <c r="B16" s="242"/>
      <c r="C16" s="242"/>
      <c r="D16" s="241"/>
      <c r="E16" s="563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38"/>
      <c r="Q16" s="239"/>
    </row>
    <row r="17" spans="2:17">
      <c r="B17" s="1171" t="s">
        <v>211</v>
      </c>
      <c r="C17" s="1172"/>
      <c r="D17" s="243"/>
      <c r="E17" s="563"/>
      <c r="F17" s="241"/>
      <c r="G17" s="241"/>
      <c r="H17" s="241"/>
      <c r="I17" s="241"/>
      <c r="J17" s="241"/>
      <c r="K17" s="241"/>
      <c r="L17" s="241"/>
      <c r="M17" s="241"/>
      <c r="N17" s="244"/>
      <c r="O17" s="244"/>
    </row>
    <row r="18" spans="2:17">
      <c r="B18" s="223" t="s">
        <v>212</v>
      </c>
      <c r="C18" s="245">
        <v>3.6</v>
      </c>
      <c r="D18" s="241"/>
      <c r="E18" s="563"/>
      <c r="F18" s="241"/>
      <c r="G18" s="241"/>
      <c r="H18" s="241"/>
      <c r="I18" s="241"/>
      <c r="J18" s="241"/>
      <c r="K18" s="241"/>
      <c r="L18" s="241"/>
      <c r="M18" s="241"/>
      <c r="N18" s="241"/>
      <c r="O18" s="241"/>
    </row>
    <row r="19" spans="2:17">
      <c r="B19" s="223" t="s">
        <v>213</v>
      </c>
      <c r="C19" s="245">
        <v>0.27700000000000002</v>
      </c>
      <c r="D19" s="241"/>
      <c r="E19" s="563"/>
      <c r="F19" s="241"/>
      <c r="G19" s="241"/>
      <c r="H19" s="241"/>
      <c r="I19" s="241"/>
      <c r="J19" s="241"/>
      <c r="K19" s="241"/>
      <c r="L19" s="241"/>
      <c r="M19" s="241"/>
      <c r="N19" s="241"/>
      <c r="O19" s="241"/>
    </row>
    <row r="20" spans="2:17">
      <c r="O20" s="241"/>
      <c r="P20" s="241"/>
      <c r="Q20" s="241"/>
    </row>
    <row r="21" spans="2:17" ht="51">
      <c r="B21" s="1173" t="s">
        <v>355</v>
      </c>
      <c r="C21" s="223">
        <v>2014</v>
      </c>
      <c r="D21" s="223" t="s">
        <v>336</v>
      </c>
      <c r="E21" s="223" t="s">
        <v>337</v>
      </c>
      <c r="F21" s="223" t="s">
        <v>317</v>
      </c>
      <c r="N21" s="241"/>
      <c r="O21" s="241"/>
      <c r="P21" s="241"/>
    </row>
    <row r="22" spans="2:17">
      <c r="B22" s="1173"/>
      <c r="C22" s="227" t="s">
        <v>19</v>
      </c>
      <c r="D22" s="228">
        <f>H3+H6+H9+H12</f>
        <v>1010.9314252799999</v>
      </c>
      <c r="E22" s="228">
        <f t="shared" ref="E22:F24" si="3">I3+I6+I9+I12</f>
        <v>280.02800480255996</v>
      </c>
      <c r="F22" s="228">
        <f t="shared" si="3"/>
        <v>69.360005088460795</v>
      </c>
    </row>
    <row r="23" spans="2:17">
      <c r="B23" s="1173"/>
      <c r="C23" s="227" t="s">
        <v>339</v>
      </c>
      <c r="D23" s="228">
        <f>H4+H7+H10+H13</f>
        <v>2224.0528818479997</v>
      </c>
      <c r="E23" s="228">
        <f t="shared" si="3"/>
        <v>616.06264827189602</v>
      </c>
      <c r="F23" s="228">
        <f t="shared" si="3"/>
        <v>163.08979782591385</v>
      </c>
    </row>
    <row r="24" spans="2:17">
      <c r="B24" s="1173"/>
      <c r="C24" s="227" t="s">
        <v>341</v>
      </c>
      <c r="D24" s="228">
        <f>H5+H8+H11+H14</f>
        <v>138.26525385599996</v>
      </c>
      <c r="E24" s="228">
        <f t="shared" si="3"/>
        <v>38.299475318111988</v>
      </c>
      <c r="F24" s="228">
        <f t="shared" si="3"/>
        <v>8.6332824507686396</v>
      </c>
    </row>
    <row r="25" spans="2:17">
      <c r="B25" s="1169" t="s">
        <v>3</v>
      </c>
      <c r="C25" s="1170"/>
      <c r="D25" s="236">
        <f>SUM(D22:D24)</f>
        <v>3373.2495609839998</v>
      </c>
      <c r="E25" s="236">
        <f>SUM(E22:E24)</f>
        <v>934.39012839256793</v>
      </c>
      <c r="F25" s="236">
        <f>SUM(F22:F24)</f>
        <v>241.08308536514326</v>
      </c>
    </row>
    <row r="27" spans="2:17" ht="38.25">
      <c r="B27" s="223" t="s">
        <v>118</v>
      </c>
      <c r="C27" s="223" t="s">
        <v>354</v>
      </c>
      <c r="D27" s="223" t="s">
        <v>353</v>
      </c>
      <c r="E27" s="223" t="s">
        <v>332</v>
      </c>
      <c r="F27" s="223" t="s">
        <v>335</v>
      </c>
      <c r="G27" s="223" t="s">
        <v>13</v>
      </c>
      <c r="H27" s="223" t="s">
        <v>336</v>
      </c>
      <c r="I27" s="223" t="s">
        <v>337</v>
      </c>
      <c r="J27" s="223" t="s">
        <v>317</v>
      </c>
    </row>
    <row r="28" spans="2:17">
      <c r="B28" s="1174" t="s">
        <v>350</v>
      </c>
      <c r="C28" s="225" t="s">
        <v>19</v>
      </c>
      <c r="D28" s="226">
        <f>$M$3*11435</f>
        <v>3316.1499999999996</v>
      </c>
      <c r="E28" s="228">
        <f>Wskaźniki!$C$19</f>
        <v>0.72</v>
      </c>
      <c r="F28" s="227">
        <f>Wskaźniki!$C$17</f>
        <v>4.48E-2</v>
      </c>
      <c r="G28" s="227">
        <f>Wskaźniki!$C$18</f>
        <v>6.8610000000000004E-2</v>
      </c>
      <c r="H28" s="228">
        <f>D28*E28*F28</f>
        <v>106.96573439999999</v>
      </c>
      <c r="I28" s="228">
        <f>H28*$C$19</f>
        <v>29.629508428799998</v>
      </c>
      <c r="J28" s="228">
        <f>H28*G28</f>
        <v>7.3389190371839996</v>
      </c>
    </row>
    <row r="29" spans="2:17">
      <c r="B29" s="1175"/>
      <c r="C29" s="225" t="s">
        <v>339</v>
      </c>
      <c r="D29" s="226">
        <f>$M$4*11435</f>
        <v>8004.4999999999991</v>
      </c>
      <c r="E29" s="228">
        <f>Wskaźniki!$C$19</f>
        <v>0.72</v>
      </c>
      <c r="F29" s="227">
        <f>Wskaźniki!$C$20</f>
        <v>4.333E-2</v>
      </c>
      <c r="G29" s="227">
        <f>Wskaźniki!$C$21</f>
        <v>7.3330000000000006E-2</v>
      </c>
      <c r="H29" s="228">
        <f t="shared" ref="H29:H39" si="4">D29*E29*F29</f>
        <v>249.72118919999994</v>
      </c>
      <c r="I29" s="228">
        <f t="shared" ref="I29:I39" si="5">H29*$C$19</f>
        <v>69.172769408399986</v>
      </c>
      <c r="J29" s="228">
        <f t="shared" ref="J29:J39" si="6">H29*G29</f>
        <v>18.312054804035999</v>
      </c>
    </row>
    <row r="30" spans="2:17">
      <c r="B30" s="1176"/>
      <c r="C30" s="225" t="s">
        <v>341</v>
      </c>
      <c r="D30" s="226">
        <f>$M$5*11435</f>
        <v>114.35000000000001</v>
      </c>
      <c r="E30" s="228">
        <f>Wskaźniki!$C$19</f>
        <v>0.72</v>
      </c>
      <c r="F30" s="227">
        <f>Wskaźniki!$C$14</f>
        <v>4.7309999999999998E-2</v>
      </c>
      <c r="G30" s="227">
        <f>Wskaźniki!$C$15</f>
        <v>6.2440000000000002E-2</v>
      </c>
      <c r="H30" s="228">
        <f t="shared" si="4"/>
        <v>3.89512692</v>
      </c>
      <c r="I30" s="228">
        <f t="shared" si="5"/>
        <v>1.0789501568400002</v>
      </c>
      <c r="J30" s="228">
        <f t="shared" si="6"/>
        <v>0.2432117248848</v>
      </c>
    </row>
    <row r="31" spans="2:17">
      <c r="B31" s="1174" t="s">
        <v>351</v>
      </c>
      <c r="C31" s="225" t="s">
        <v>19</v>
      </c>
      <c r="D31" s="226">
        <f>$M$3*40000</f>
        <v>11600</v>
      </c>
      <c r="E31" s="228">
        <f>Wskaźniki!$C$19</f>
        <v>0.72</v>
      </c>
      <c r="F31" s="227">
        <f>Wskaźniki!$C$17</f>
        <v>4.48E-2</v>
      </c>
      <c r="G31" s="227">
        <f>Wskaźniki!$C$18</f>
        <v>6.8610000000000004E-2</v>
      </c>
      <c r="H31" s="228">
        <f t="shared" si="4"/>
        <v>374.1696</v>
      </c>
      <c r="I31" s="228">
        <f t="shared" si="5"/>
        <v>103.64497920000001</v>
      </c>
      <c r="J31" s="228">
        <f t="shared" si="6"/>
        <v>25.671776256000001</v>
      </c>
    </row>
    <row r="32" spans="2:17">
      <c r="B32" s="1175"/>
      <c r="C32" s="225" t="s">
        <v>339</v>
      </c>
      <c r="D32" s="226">
        <f>$M$4*40000</f>
        <v>28000</v>
      </c>
      <c r="E32" s="228">
        <f>Wskaźniki!$C$19</f>
        <v>0.72</v>
      </c>
      <c r="F32" s="227">
        <f>Wskaźniki!$C$20</f>
        <v>4.333E-2</v>
      </c>
      <c r="G32" s="227">
        <f>Wskaźniki!$C$21</f>
        <v>7.3330000000000006E-2</v>
      </c>
      <c r="H32" s="228">
        <f t="shared" si="4"/>
        <v>873.53280000000007</v>
      </c>
      <c r="I32" s="228">
        <f t="shared" si="5"/>
        <v>241.96858560000004</v>
      </c>
      <c r="J32" s="228">
        <f t="shared" si="6"/>
        <v>64.05616022400001</v>
      </c>
    </row>
    <row r="33" spans="2:10">
      <c r="B33" s="1176"/>
      <c r="C33" s="225" t="s">
        <v>341</v>
      </c>
      <c r="D33" s="226">
        <f>$M$5*40000</f>
        <v>400</v>
      </c>
      <c r="E33" s="228">
        <f>Wskaźniki!$C$19</f>
        <v>0.72</v>
      </c>
      <c r="F33" s="227">
        <f>Wskaźniki!$C$14</f>
        <v>4.7309999999999998E-2</v>
      </c>
      <c r="G33" s="227">
        <f>Wskaźniki!$C$15</f>
        <v>6.2440000000000002E-2</v>
      </c>
      <c r="H33" s="228">
        <f t="shared" si="4"/>
        <v>13.62528</v>
      </c>
      <c r="I33" s="228">
        <f t="shared" si="5"/>
        <v>3.7742025600000004</v>
      </c>
      <c r="J33" s="228">
        <f t="shared" si="6"/>
        <v>0.85076248320000003</v>
      </c>
    </row>
    <row r="34" spans="2:10">
      <c r="B34" s="1177" t="s">
        <v>388</v>
      </c>
      <c r="C34" s="225" t="s">
        <v>19</v>
      </c>
      <c r="D34" s="226">
        <f>$M$3*10637</f>
        <v>3084.7299999999996</v>
      </c>
      <c r="E34" s="228">
        <f>Wskaźniki!$C$19</f>
        <v>0.72</v>
      </c>
      <c r="F34" s="227">
        <f>Wskaźniki!$C$17</f>
        <v>4.48E-2</v>
      </c>
      <c r="G34" s="227">
        <f>Wskaźniki!$C$18</f>
        <v>6.8610000000000004E-2</v>
      </c>
      <c r="H34" s="228">
        <f t="shared" si="4"/>
        <v>99.50105087999998</v>
      </c>
      <c r="I34" s="228">
        <f t="shared" si="5"/>
        <v>27.561791093759997</v>
      </c>
      <c r="J34" s="228">
        <f t="shared" si="6"/>
        <v>6.8267671008767987</v>
      </c>
    </row>
    <row r="35" spans="2:10">
      <c r="B35" s="1178"/>
      <c r="C35" s="225" t="s">
        <v>339</v>
      </c>
      <c r="D35" s="226">
        <f>$M$3*10637</f>
        <v>3084.7299999999996</v>
      </c>
      <c r="E35" s="228">
        <f>Wskaźniki!$C$19</f>
        <v>0.72</v>
      </c>
      <c r="F35" s="227">
        <f>Wskaźniki!$C$20</f>
        <v>4.333E-2</v>
      </c>
      <c r="G35" s="227">
        <f>Wskaźniki!$C$21</f>
        <v>7.3330000000000006E-2</v>
      </c>
      <c r="H35" s="228">
        <f t="shared" si="4"/>
        <v>96.236172647999979</v>
      </c>
      <c r="I35" s="228">
        <f t="shared" si="5"/>
        <v>26.657419823495996</v>
      </c>
      <c r="J35" s="228">
        <f t="shared" si="6"/>
        <v>7.0569985402778395</v>
      </c>
    </row>
    <row r="36" spans="2:10">
      <c r="B36" s="1179"/>
      <c r="C36" s="225" t="s">
        <v>341</v>
      </c>
      <c r="D36" s="226">
        <f>$M$3*10637</f>
        <v>3084.7299999999996</v>
      </c>
      <c r="E36" s="228">
        <f>Wskaźniki!$C$19</f>
        <v>0.72</v>
      </c>
      <c r="F36" s="227">
        <v>4.7309999999999998E-2</v>
      </c>
      <c r="G36" s="227">
        <v>6.2440000000000002E-2</v>
      </c>
      <c r="H36" s="228">
        <f t="shared" si="4"/>
        <v>105.07577493599997</v>
      </c>
      <c r="I36" s="228">
        <f t="shared" si="5"/>
        <v>29.105989657271994</v>
      </c>
      <c r="J36" s="228">
        <f t="shared" si="6"/>
        <v>6.5609313870038388</v>
      </c>
    </row>
    <row r="37" spans="2:10">
      <c r="B37" s="1177" t="s">
        <v>352</v>
      </c>
      <c r="C37" s="225" t="s">
        <v>19</v>
      </c>
      <c r="D37" s="226">
        <f>$M$3*46000</f>
        <v>13339.999999999998</v>
      </c>
      <c r="E37" s="228">
        <f>Wskaźniki!$C$19</f>
        <v>0.72</v>
      </c>
      <c r="F37" s="227">
        <f>Wskaźniki!$C$17</f>
        <v>4.48E-2</v>
      </c>
      <c r="G37" s="227">
        <f>Wskaźniki!$C$18</f>
        <v>6.8610000000000004E-2</v>
      </c>
      <c r="H37" s="228">
        <f t="shared" si="4"/>
        <v>430.29503999999986</v>
      </c>
      <c r="I37" s="228">
        <f t="shared" si="5"/>
        <v>119.19172607999997</v>
      </c>
      <c r="J37" s="228">
        <f t="shared" si="6"/>
        <v>29.522542694399991</v>
      </c>
    </row>
    <row r="38" spans="2:10">
      <c r="B38" s="1178"/>
      <c r="C38" s="225" t="s">
        <v>339</v>
      </c>
      <c r="D38" s="226">
        <f>$M$4*46000</f>
        <v>32199.999999999996</v>
      </c>
      <c r="E38" s="228">
        <f>Wskaźniki!$C$19</f>
        <v>0.72</v>
      </c>
      <c r="F38" s="227">
        <f>Wskaźniki!$C$20</f>
        <v>4.333E-2</v>
      </c>
      <c r="G38" s="227">
        <f>Wskaźniki!$C$21</f>
        <v>7.3330000000000006E-2</v>
      </c>
      <c r="H38" s="228">
        <f t="shared" si="4"/>
        <v>1004.5627199999999</v>
      </c>
      <c r="I38" s="228">
        <f t="shared" si="5"/>
        <v>278.26387344</v>
      </c>
      <c r="J38" s="228">
        <f t="shared" si="6"/>
        <v>73.664584257599998</v>
      </c>
    </row>
    <row r="39" spans="2:10">
      <c r="B39" s="1179"/>
      <c r="C39" s="225" t="s">
        <v>341</v>
      </c>
      <c r="D39" s="226">
        <f>$M$5*46000</f>
        <v>460</v>
      </c>
      <c r="E39" s="228">
        <f>Wskaźniki!$C$19</f>
        <v>0.72</v>
      </c>
      <c r="F39" s="227">
        <f>Wskaźniki!$C$14</f>
        <v>4.7309999999999998E-2</v>
      </c>
      <c r="G39" s="227">
        <f>Wskaźniki!$C$15</f>
        <v>6.2440000000000002E-2</v>
      </c>
      <c r="H39" s="228">
        <f t="shared" si="4"/>
        <v>15.669071999999998</v>
      </c>
      <c r="I39" s="228">
        <f t="shared" si="5"/>
        <v>4.340332944</v>
      </c>
      <c r="J39" s="228">
        <f t="shared" si="6"/>
        <v>0.97837685567999988</v>
      </c>
    </row>
    <row r="40" spans="2:10">
      <c r="B40" s="1169" t="s">
        <v>3</v>
      </c>
      <c r="C40" s="1170"/>
      <c r="D40" s="234">
        <f>SUM(D28:D39)</f>
        <v>106689.18999999999</v>
      </c>
      <c r="E40" s="562"/>
      <c r="F40" s="235"/>
      <c r="G40" s="235"/>
      <c r="H40" s="236">
        <f>SUM(H28:H39)</f>
        <v>3373.2495609839998</v>
      </c>
      <c r="I40" s="236">
        <f>SUM(I28:I39)</f>
        <v>934.39012839256793</v>
      </c>
      <c r="J40" s="236">
        <f>SUM(J28:J39)</f>
        <v>241.08308536514326</v>
      </c>
    </row>
    <row r="41" spans="2:10">
      <c r="B41" s="242"/>
      <c r="C41" s="242"/>
      <c r="D41" s="241"/>
      <c r="E41" s="563"/>
      <c r="F41" s="241"/>
      <c r="G41" s="241"/>
      <c r="H41" s="241"/>
      <c r="I41" s="241"/>
      <c r="J41" s="241"/>
    </row>
    <row r="42" spans="2:10">
      <c r="B42" s="1171" t="s">
        <v>211</v>
      </c>
      <c r="C42" s="1172"/>
      <c r="D42" s="243"/>
      <c r="E42" s="563"/>
      <c r="F42" s="241"/>
      <c r="G42" s="241"/>
      <c r="H42" s="241"/>
      <c r="I42" s="241"/>
      <c r="J42" s="241"/>
    </row>
    <row r="43" spans="2:10">
      <c r="B43" s="223" t="s">
        <v>212</v>
      </c>
      <c r="C43" s="245">
        <v>3.6</v>
      </c>
      <c r="D43" s="241"/>
      <c r="E43" s="563"/>
      <c r="F43" s="241"/>
      <c r="G43" s="241"/>
      <c r="H43" s="241"/>
      <c r="I43" s="241"/>
      <c r="J43" s="241"/>
    </row>
    <row r="44" spans="2:10">
      <c r="B44" s="223" t="s">
        <v>213</v>
      </c>
      <c r="C44" s="245">
        <v>0.27700000000000002</v>
      </c>
      <c r="D44" s="241"/>
      <c r="E44" s="563"/>
      <c r="F44" s="241"/>
      <c r="G44" s="241"/>
      <c r="H44" s="241"/>
      <c r="I44" s="241"/>
      <c r="J44" s="241"/>
    </row>
    <row r="46" spans="2:10" ht="51">
      <c r="B46" s="1173" t="s">
        <v>355</v>
      </c>
      <c r="C46" s="223" t="s">
        <v>118</v>
      </c>
      <c r="D46" s="223" t="s">
        <v>336</v>
      </c>
      <c r="E46" s="223" t="s">
        <v>337</v>
      </c>
      <c r="F46" s="223" t="s">
        <v>317</v>
      </c>
    </row>
    <row r="47" spans="2:10">
      <c r="B47" s="1173"/>
      <c r="C47" s="227" t="s">
        <v>19</v>
      </c>
      <c r="D47" s="228">
        <f>H28+H31+H34+H37</f>
        <v>1010.9314252799999</v>
      </c>
      <c r="E47" s="228">
        <f t="shared" ref="E47:F49" si="7">I28+I31+I34+I37</f>
        <v>280.02800480255996</v>
      </c>
      <c r="F47" s="228">
        <f t="shared" si="7"/>
        <v>69.360005088460795</v>
      </c>
    </row>
    <row r="48" spans="2:10">
      <c r="B48" s="1173"/>
      <c r="C48" s="227" t="s">
        <v>339</v>
      </c>
      <c r="D48" s="228">
        <f>H29+H32+H35+H38</f>
        <v>2224.0528818479997</v>
      </c>
      <c r="E48" s="228">
        <f t="shared" si="7"/>
        <v>616.06264827189602</v>
      </c>
      <c r="F48" s="228">
        <f t="shared" si="7"/>
        <v>163.08979782591385</v>
      </c>
    </row>
    <row r="49" spans="2:6">
      <c r="B49" s="1173"/>
      <c r="C49" s="227" t="s">
        <v>341</v>
      </c>
      <c r="D49" s="228">
        <f>H30+H33+H36+H39</f>
        <v>138.26525385599996</v>
      </c>
      <c r="E49" s="228">
        <f t="shared" si="7"/>
        <v>38.299475318111988</v>
      </c>
      <c r="F49" s="228">
        <f t="shared" si="7"/>
        <v>8.6332824507686396</v>
      </c>
    </row>
    <row r="50" spans="2:6">
      <c r="B50" s="1169" t="s">
        <v>3</v>
      </c>
      <c r="C50" s="1170"/>
      <c r="D50" s="236">
        <f>SUM(D47:D49)</f>
        <v>3373.2495609839998</v>
      </c>
      <c r="E50" s="236">
        <f>SUM(E47:E49)</f>
        <v>934.39012839256793</v>
      </c>
      <c r="F50" s="236">
        <f>SUM(F47:F49)</f>
        <v>241.08308536514326</v>
      </c>
    </row>
  </sheetData>
  <mergeCells count="17">
    <mergeCell ref="L2:M2"/>
    <mergeCell ref="B3:B5"/>
    <mergeCell ref="B6:B8"/>
    <mergeCell ref="B12:B14"/>
    <mergeCell ref="B15:C15"/>
    <mergeCell ref="B9:B11"/>
    <mergeCell ref="B50:C50"/>
    <mergeCell ref="B17:C17"/>
    <mergeCell ref="B21:B24"/>
    <mergeCell ref="B25:C25"/>
    <mergeCell ref="B28:B30"/>
    <mergeCell ref="B34:B36"/>
    <mergeCell ref="B31:B33"/>
    <mergeCell ref="B37:B39"/>
    <mergeCell ref="B40:C40"/>
    <mergeCell ref="B42:C42"/>
    <mergeCell ref="B46:B49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2:Q75"/>
  <sheetViews>
    <sheetView showGridLines="0" topLeftCell="A46" workbookViewId="0">
      <selection activeCell="H53" sqref="H53:J64"/>
    </sheetView>
  </sheetViews>
  <sheetFormatPr defaultRowHeight="12.75"/>
  <cols>
    <col min="1" max="1" width="5" style="240" customWidth="1"/>
    <col min="2" max="2" width="24.625" style="246" customWidth="1"/>
    <col min="3" max="3" width="12.625" style="246" customWidth="1"/>
    <col min="4" max="4" width="12.125" style="240" customWidth="1"/>
    <col min="5" max="5" width="9.125" style="564" customWidth="1"/>
    <col min="6" max="7" width="9" style="240"/>
    <col min="8" max="10" width="10" style="240" bestFit="1" customWidth="1"/>
    <col min="11" max="11" width="4.625" style="240" customWidth="1"/>
    <col min="12" max="12" width="14.125" style="240" customWidth="1"/>
    <col min="13" max="16384" width="9" style="240"/>
  </cols>
  <sheetData>
    <row r="2" spans="2:17" ht="45.75" customHeight="1">
      <c r="B2" s="556">
        <v>2014</v>
      </c>
      <c r="C2" s="556" t="s">
        <v>354</v>
      </c>
      <c r="D2" s="556" t="s">
        <v>353</v>
      </c>
      <c r="E2" s="556" t="s">
        <v>332</v>
      </c>
      <c r="F2" s="556" t="s">
        <v>335</v>
      </c>
      <c r="G2" s="556" t="s">
        <v>13</v>
      </c>
      <c r="H2" s="556" t="s">
        <v>336</v>
      </c>
      <c r="I2" s="556" t="s">
        <v>337</v>
      </c>
      <c r="J2" s="556" t="s">
        <v>317</v>
      </c>
      <c r="K2" s="224"/>
      <c r="L2" s="1173" t="s">
        <v>45</v>
      </c>
      <c r="M2" s="1173"/>
    </row>
    <row r="3" spans="2:17" ht="16.5" customHeight="1">
      <c r="B3" s="1180" t="s">
        <v>350</v>
      </c>
      <c r="C3" s="556" t="s">
        <v>19</v>
      </c>
      <c r="D3" s="557">
        <f>$M$3*11435</f>
        <v>3316.1499999999996</v>
      </c>
      <c r="E3" s="559">
        <f>Wskaźniki!$C$19</f>
        <v>0.72</v>
      </c>
      <c r="F3" s="558">
        <f>Wskaźniki!$C$17</f>
        <v>4.48E-2</v>
      </c>
      <c r="G3" s="558">
        <f>Wskaźniki!$C$18</f>
        <v>6.8610000000000004E-2</v>
      </c>
      <c r="H3" s="559">
        <f>D3*E3*F3</f>
        <v>106.96573439999999</v>
      </c>
      <c r="I3" s="559">
        <f t="shared" ref="I3:I14" si="0">H3*$C$19</f>
        <v>29.629508428799998</v>
      </c>
      <c r="J3" s="559">
        <f>H3*G3</f>
        <v>7.3389190371839996</v>
      </c>
      <c r="K3" s="229"/>
      <c r="L3" s="230" t="s">
        <v>338</v>
      </c>
      <c r="M3" s="231">
        <v>0.28999999999999998</v>
      </c>
    </row>
    <row r="4" spans="2:17" ht="16.5" customHeight="1">
      <c r="B4" s="1180"/>
      <c r="C4" s="556" t="s">
        <v>339</v>
      </c>
      <c r="D4" s="557">
        <f>$M$4*11435</f>
        <v>8004.4999999999991</v>
      </c>
      <c r="E4" s="559">
        <f>Wskaźniki!$C$19</f>
        <v>0.72</v>
      </c>
      <c r="F4" s="558">
        <f>Wskaźniki!$C$20</f>
        <v>4.333E-2</v>
      </c>
      <c r="G4" s="558">
        <f>Wskaźniki!$C$21</f>
        <v>7.3330000000000006E-2</v>
      </c>
      <c r="H4" s="559">
        <f t="shared" ref="H4:H14" si="1">D4*E4*F4</f>
        <v>249.72118919999994</v>
      </c>
      <c r="I4" s="559">
        <f t="shared" si="0"/>
        <v>69.172769408399986</v>
      </c>
      <c r="J4" s="559">
        <f t="shared" ref="J4:J14" si="2">H4*G4</f>
        <v>18.312054804035999</v>
      </c>
      <c r="K4" s="229"/>
      <c r="L4" s="230" t="s">
        <v>340</v>
      </c>
      <c r="M4" s="231">
        <v>0.7</v>
      </c>
    </row>
    <row r="5" spans="2:17" ht="16.5" customHeight="1">
      <c r="B5" s="1180"/>
      <c r="C5" s="556" t="s">
        <v>341</v>
      </c>
      <c r="D5" s="557">
        <f>$M$5*11435</f>
        <v>114.35000000000001</v>
      </c>
      <c r="E5" s="559">
        <f>Wskaźniki!$C$19</f>
        <v>0.72</v>
      </c>
      <c r="F5" s="558">
        <f>Wskaźniki!$C$14</f>
        <v>4.7309999999999998E-2</v>
      </c>
      <c r="G5" s="558">
        <f>Wskaźniki!$C$15</f>
        <v>6.2440000000000002E-2</v>
      </c>
      <c r="H5" s="559">
        <f t="shared" si="1"/>
        <v>3.89512692</v>
      </c>
      <c r="I5" s="559">
        <f t="shared" si="0"/>
        <v>1.0789501568400002</v>
      </c>
      <c r="J5" s="559">
        <f t="shared" si="2"/>
        <v>0.2432117248848</v>
      </c>
      <c r="K5" s="229"/>
      <c r="L5" s="230" t="s">
        <v>342</v>
      </c>
      <c r="M5" s="231">
        <v>0.01</v>
      </c>
    </row>
    <row r="6" spans="2:17" ht="16.5" customHeight="1">
      <c r="B6" s="1180" t="s">
        <v>351</v>
      </c>
      <c r="C6" s="556" t="s">
        <v>19</v>
      </c>
      <c r="D6" s="557">
        <f>$M$3*40000</f>
        <v>11600</v>
      </c>
      <c r="E6" s="559">
        <f>Wskaźniki!$C$19</f>
        <v>0.72</v>
      </c>
      <c r="F6" s="558">
        <f>Wskaźniki!$C$17</f>
        <v>4.48E-2</v>
      </c>
      <c r="G6" s="558">
        <f>Wskaźniki!$C$18</f>
        <v>6.8610000000000004E-2</v>
      </c>
      <c r="H6" s="559">
        <f t="shared" si="1"/>
        <v>374.1696</v>
      </c>
      <c r="I6" s="559">
        <f t="shared" si="0"/>
        <v>103.64497920000001</v>
      </c>
      <c r="J6" s="559">
        <f t="shared" si="2"/>
        <v>25.671776256000001</v>
      </c>
      <c r="K6" s="229"/>
      <c r="L6" s="232"/>
      <c r="M6" s="233"/>
    </row>
    <row r="7" spans="2:17" ht="16.5" customHeight="1">
      <c r="B7" s="1180"/>
      <c r="C7" s="556" t="s">
        <v>339</v>
      </c>
      <c r="D7" s="557">
        <f>$M$4*40000</f>
        <v>28000</v>
      </c>
      <c r="E7" s="559">
        <f>Wskaźniki!$C$19</f>
        <v>0.72</v>
      </c>
      <c r="F7" s="558">
        <f>Wskaźniki!$C$20</f>
        <v>4.333E-2</v>
      </c>
      <c r="G7" s="558">
        <f>Wskaźniki!$C$21</f>
        <v>7.3330000000000006E-2</v>
      </c>
      <c r="H7" s="559">
        <f t="shared" si="1"/>
        <v>873.53280000000007</v>
      </c>
      <c r="I7" s="559">
        <f t="shared" si="0"/>
        <v>241.96858560000004</v>
      </c>
      <c r="J7" s="559">
        <f t="shared" si="2"/>
        <v>64.05616022400001</v>
      </c>
      <c r="K7" s="229"/>
      <c r="L7" s="232"/>
      <c r="M7" s="233"/>
    </row>
    <row r="8" spans="2:17" ht="16.5" customHeight="1">
      <c r="B8" s="1180"/>
      <c r="C8" s="556" t="s">
        <v>341</v>
      </c>
      <c r="D8" s="557">
        <f>$M$5*40000</f>
        <v>400</v>
      </c>
      <c r="E8" s="559">
        <f>Wskaźniki!$C$19</f>
        <v>0.72</v>
      </c>
      <c r="F8" s="558">
        <f>Wskaźniki!$C$14</f>
        <v>4.7309999999999998E-2</v>
      </c>
      <c r="G8" s="558">
        <f>Wskaźniki!$C$15</f>
        <v>6.2440000000000002E-2</v>
      </c>
      <c r="H8" s="559">
        <f t="shared" si="1"/>
        <v>13.62528</v>
      </c>
      <c r="I8" s="559">
        <f t="shared" si="0"/>
        <v>3.7742025600000004</v>
      </c>
      <c r="J8" s="559">
        <f t="shared" si="2"/>
        <v>0.85076248320000003</v>
      </c>
      <c r="K8" s="229"/>
      <c r="L8" s="232"/>
      <c r="M8" s="233"/>
    </row>
    <row r="9" spans="2:17" ht="16.5" customHeight="1">
      <c r="B9" s="1180" t="s">
        <v>388</v>
      </c>
      <c r="C9" s="556" t="s">
        <v>19</v>
      </c>
      <c r="D9" s="557">
        <f>$M$3*10637</f>
        <v>3084.7299999999996</v>
      </c>
      <c r="E9" s="559">
        <f>Wskaźniki!$C$19</f>
        <v>0.72</v>
      </c>
      <c r="F9" s="558">
        <f>Wskaźniki!$C$17</f>
        <v>4.48E-2</v>
      </c>
      <c r="G9" s="558">
        <f>Wskaźniki!$C$18</f>
        <v>6.8610000000000004E-2</v>
      </c>
      <c r="H9" s="559">
        <f t="shared" si="1"/>
        <v>99.50105087999998</v>
      </c>
      <c r="I9" s="559">
        <f t="shared" si="0"/>
        <v>27.561791093759997</v>
      </c>
      <c r="J9" s="559">
        <f t="shared" si="2"/>
        <v>6.8267671008767987</v>
      </c>
      <c r="K9" s="229"/>
      <c r="L9" s="232"/>
      <c r="M9" s="233"/>
    </row>
    <row r="10" spans="2:17" ht="16.5" customHeight="1">
      <c r="B10" s="1180"/>
      <c r="C10" s="556" t="s">
        <v>339</v>
      </c>
      <c r="D10" s="557">
        <f>$M$3*10637</f>
        <v>3084.7299999999996</v>
      </c>
      <c r="E10" s="559">
        <f>Wskaźniki!$C$19</f>
        <v>0.72</v>
      </c>
      <c r="F10" s="558">
        <f>Wskaźniki!$C$20</f>
        <v>4.333E-2</v>
      </c>
      <c r="G10" s="558">
        <f>Wskaźniki!$C$21</f>
        <v>7.3330000000000006E-2</v>
      </c>
      <c r="H10" s="559">
        <f t="shared" si="1"/>
        <v>96.236172647999979</v>
      </c>
      <c r="I10" s="559">
        <f t="shared" si="0"/>
        <v>26.657419823495996</v>
      </c>
      <c r="J10" s="559">
        <f t="shared" si="2"/>
        <v>7.0569985402778395</v>
      </c>
      <c r="K10" s="229"/>
      <c r="L10" s="232"/>
      <c r="M10" s="233"/>
    </row>
    <row r="11" spans="2:17" ht="16.5" customHeight="1">
      <c r="B11" s="1180"/>
      <c r="C11" s="556" t="s">
        <v>341</v>
      </c>
      <c r="D11" s="557">
        <f>$M$3*10637</f>
        <v>3084.7299999999996</v>
      </c>
      <c r="E11" s="559">
        <f>Wskaźniki!$C$19</f>
        <v>0.72</v>
      </c>
      <c r="F11" s="558">
        <v>4.7309999999999998E-2</v>
      </c>
      <c r="G11" s="558">
        <v>6.2440000000000002E-2</v>
      </c>
      <c r="H11" s="559">
        <f t="shared" si="1"/>
        <v>105.07577493599997</v>
      </c>
      <c r="I11" s="559">
        <f t="shared" si="0"/>
        <v>29.105989657271994</v>
      </c>
      <c r="J11" s="559">
        <f t="shared" si="2"/>
        <v>6.5609313870038388</v>
      </c>
      <c r="K11" s="229"/>
      <c r="L11" s="232"/>
      <c r="M11" s="233"/>
    </row>
    <row r="12" spans="2:17" ht="16.5" customHeight="1">
      <c r="B12" s="1180" t="s">
        <v>352</v>
      </c>
      <c r="C12" s="556" t="s">
        <v>19</v>
      </c>
      <c r="D12" s="557">
        <f>$M$3*46000</f>
        <v>13339.999999999998</v>
      </c>
      <c r="E12" s="559">
        <f>Wskaźniki!$C$19</f>
        <v>0.72</v>
      </c>
      <c r="F12" s="558">
        <f>Wskaźniki!$C$17</f>
        <v>4.48E-2</v>
      </c>
      <c r="G12" s="558">
        <f>Wskaźniki!$C$18</f>
        <v>6.8610000000000004E-2</v>
      </c>
      <c r="H12" s="559">
        <f t="shared" si="1"/>
        <v>430.29503999999986</v>
      </c>
      <c r="I12" s="559">
        <f t="shared" si="0"/>
        <v>119.19172607999997</v>
      </c>
      <c r="J12" s="559">
        <f t="shared" si="2"/>
        <v>29.522542694399991</v>
      </c>
      <c r="K12" s="229"/>
      <c r="L12" s="232"/>
      <c r="M12" s="233"/>
    </row>
    <row r="13" spans="2:17" ht="16.5" customHeight="1">
      <c r="B13" s="1180"/>
      <c r="C13" s="556" t="s">
        <v>339</v>
      </c>
      <c r="D13" s="557">
        <f>$M$4*46000</f>
        <v>32199.999999999996</v>
      </c>
      <c r="E13" s="559">
        <f>Wskaźniki!$C$19</f>
        <v>0.72</v>
      </c>
      <c r="F13" s="558">
        <f>Wskaźniki!$C$20</f>
        <v>4.333E-2</v>
      </c>
      <c r="G13" s="558">
        <f>Wskaźniki!$C$21</f>
        <v>7.3330000000000006E-2</v>
      </c>
      <c r="H13" s="559">
        <f t="shared" si="1"/>
        <v>1004.5627199999999</v>
      </c>
      <c r="I13" s="559">
        <f t="shared" si="0"/>
        <v>278.26387344</v>
      </c>
      <c r="J13" s="559">
        <f t="shared" si="2"/>
        <v>73.664584257599998</v>
      </c>
      <c r="K13" s="229"/>
      <c r="L13" s="232"/>
      <c r="M13" s="233"/>
    </row>
    <row r="14" spans="2:17" ht="16.5" customHeight="1">
      <c r="B14" s="1180"/>
      <c r="C14" s="556" t="s">
        <v>341</v>
      </c>
      <c r="D14" s="557">
        <f>$M$5*46000</f>
        <v>460</v>
      </c>
      <c r="E14" s="559">
        <f>Wskaźniki!$C$19</f>
        <v>0.72</v>
      </c>
      <c r="F14" s="558">
        <v>4.7309999999999998E-2</v>
      </c>
      <c r="G14" s="558">
        <v>6.2440000000000002E-2</v>
      </c>
      <c r="H14" s="559">
        <f t="shared" si="1"/>
        <v>15.669071999999998</v>
      </c>
      <c r="I14" s="559">
        <f t="shared" si="0"/>
        <v>4.340332944</v>
      </c>
      <c r="J14" s="559">
        <f t="shared" si="2"/>
        <v>0.97837685567999988</v>
      </c>
      <c r="K14" s="229"/>
      <c r="L14" s="232"/>
      <c r="M14" s="233"/>
    </row>
    <row r="15" spans="2:17" ht="16.5" customHeight="1">
      <c r="B15" s="1180" t="s">
        <v>3</v>
      </c>
      <c r="C15" s="1180"/>
      <c r="D15" s="560">
        <f>SUM(D3:D14)</f>
        <v>106689.18999999999</v>
      </c>
      <c r="E15" s="562"/>
      <c r="F15" s="235"/>
      <c r="G15" s="235"/>
      <c r="H15" s="561">
        <f>SUM(H3:H14)</f>
        <v>3373.2495609839998</v>
      </c>
      <c r="I15" s="561">
        <f>SUM(I3:I14)</f>
        <v>934.39012839256793</v>
      </c>
      <c r="J15" s="561">
        <f>SUM(J3:J14)</f>
        <v>241.08308536514326</v>
      </c>
      <c r="K15" s="224"/>
      <c r="L15" s="237"/>
      <c r="M15" s="237"/>
      <c r="N15" s="237"/>
      <c r="O15" s="241"/>
      <c r="P15" s="238"/>
      <c r="Q15" s="239"/>
    </row>
    <row r="16" spans="2:17" ht="15" customHeight="1">
      <c r="B16" s="242"/>
      <c r="C16" s="242"/>
      <c r="D16" s="241"/>
      <c r="E16" s="563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38"/>
      <c r="Q16" s="239"/>
    </row>
    <row r="17" spans="2:17">
      <c r="B17" s="1171" t="s">
        <v>211</v>
      </c>
      <c r="C17" s="1172"/>
      <c r="D17" s="243"/>
      <c r="E17" s="563"/>
      <c r="F17" s="241"/>
      <c r="G17" s="241"/>
      <c r="H17" s="241"/>
      <c r="I17" s="241"/>
      <c r="J17" s="241"/>
      <c r="K17" s="241"/>
      <c r="L17" s="241"/>
      <c r="M17" s="241"/>
      <c r="N17" s="244"/>
      <c r="O17" s="244"/>
    </row>
    <row r="18" spans="2:17">
      <c r="B18" s="223" t="s">
        <v>212</v>
      </c>
      <c r="C18" s="245">
        <v>3.6</v>
      </c>
      <c r="D18" s="241"/>
      <c r="E18" s="563"/>
      <c r="F18" s="241"/>
      <c r="G18" s="241"/>
      <c r="H18" s="241"/>
      <c r="I18" s="241"/>
      <c r="J18" s="241"/>
      <c r="K18" s="241"/>
      <c r="L18" s="241"/>
      <c r="M18" s="241"/>
      <c r="N18" s="241"/>
      <c r="O18" s="241"/>
    </row>
    <row r="19" spans="2:17">
      <c r="B19" s="223" t="s">
        <v>213</v>
      </c>
      <c r="C19" s="245">
        <v>0.27700000000000002</v>
      </c>
      <c r="D19" s="241"/>
      <c r="E19" s="563"/>
      <c r="F19" s="241"/>
      <c r="G19" s="241"/>
      <c r="H19" s="241"/>
      <c r="I19" s="241"/>
      <c r="J19" s="241"/>
      <c r="K19" s="241"/>
      <c r="L19" s="241"/>
      <c r="M19" s="241"/>
      <c r="N19" s="241"/>
      <c r="O19" s="241"/>
    </row>
    <row r="20" spans="2:17">
      <c r="O20" s="241"/>
      <c r="P20" s="241"/>
      <c r="Q20" s="241"/>
    </row>
    <row r="21" spans="2:17" ht="51">
      <c r="B21" s="1173" t="s">
        <v>355</v>
      </c>
      <c r="C21" s="223">
        <v>2014</v>
      </c>
      <c r="D21" s="223" t="s">
        <v>336</v>
      </c>
      <c r="E21" s="223" t="s">
        <v>337</v>
      </c>
      <c r="F21" s="223" t="s">
        <v>317</v>
      </c>
      <c r="N21" s="241"/>
      <c r="O21" s="241"/>
      <c r="P21" s="241"/>
    </row>
    <row r="22" spans="2:17">
      <c r="B22" s="1173"/>
      <c r="C22" s="227" t="s">
        <v>19</v>
      </c>
      <c r="D22" s="228">
        <f>H3+H6+H9+H12</f>
        <v>1010.9314252799999</v>
      </c>
      <c r="E22" s="228">
        <f t="shared" ref="E22:F24" si="3">I3+I6+I9+I12</f>
        <v>280.02800480255996</v>
      </c>
      <c r="F22" s="228">
        <f t="shared" si="3"/>
        <v>69.360005088460795</v>
      </c>
    </row>
    <row r="23" spans="2:17">
      <c r="B23" s="1173"/>
      <c r="C23" s="227" t="s">
        <v>339</v>
      </c>
      <c r="D23" s="228">
        <f>H4+H7+H10+H13</f>
        <v>2224.0528818479997</v>
      </c>
      <c r="E23" s="228">
        <f t="shared" si="3"/>
        <v>616.06264827189602</v>
      </c>
      <c r="F23" s="228">
        <f t="shared" si="3"/>
        <v>163.08979782591385</v>
      </c>
    </row>
    <row r="24" spans="2:17">
      <c r="B24" s="1173"/>
      <c r="C24" s="227" t="s">
        <v>341</v>
      </c>
      <c r="D24" s="228">
        <f>H5+H8+H11+H14</f>
        <v>138.26525385599996</v>
      </c>
      <c r="E24" s="228">
        <f t="shared" si="3"/>
        <v>38.299475318111988</v>
      </c>
      <c r="F24" s="228">
        <f t="shared" si="3"/>
        <v>8.6332824507686396</v>
      </c>
    </row>
    <row r="25" spans="2:17">
      <c r="B25" s="1169" t="s">
        <v>3</v>
      </c>
      <c r="C25" s="1170"/>
      <c r="D25" s="236">
        <f>SUM(D22:D24)</f>
        <v>3373.2495609839998</v>
      </c>
      <c r="E25" s="236">
        <f>SUM(E22:E24)</f>
        <v>934.39012839256793</v>
      </c>
      <c r="F25" s="236">
        <f>SUM(F22:F24)</f>
        <v>241.08308536514326</v>
      </c>
    </row>
    <row r="27" spans="2:17" ht="38.25">
      <c r="B27" s="223">
        <v>2024</v>
      </c>
      <c r="C27" s="223" t="s">
        <v>354</v>
      </c>
      <c r="D27" s="223" t="s">
        <v>353</v>
      </c>
      <c r="E27" s="223" t="s">
        <v>332</v>
      </c>
      <c r="F27" s="223" t="s">
        <v>335</v>
      </c>
      <c r="G27" s="223" t="s">
        <v>13</v>
      </c>
      <c r="H27" s="223" t="s">
        <v>336</v>
      </c>
      <c r="I27" s="223" t="s">
        <v>337</v>
      </c>
      <c r="J27" s="223" t="s">
        <v>317</v>
      </c>
    </row>
    <row r="28" spans="2:17">
      <c r="B28" s="1174" t="s">
        <v>350</v>
      </c>
      <c r="C28" s="225" t="s">
        <v>19</v>
      </c>
      <c r="D28" s="226">
        <f>$M$3*11435</f>
        <v>3316.1499999999996</v>
      </c>
      <c r="E28" s="228">
        <f>Wskaźniki!$C$19</f>
        <v>0.72</v>
      </c>
      <c r="F28" s="227">
        <f>Wskaźniki!$C$17</f>
        <v>4.48E-2</v>
      </c>
      <c r="G28" s="227">
        <f>Wskaźniki!$C$18</f>
        <v>6.8610000000000004E-2</v>
      </c>
      <c r="H28" s="228">
        <f>D28*E28*F28</f>
        <v>106.96573439999999</v>
      </c>
      <c r="I28" s="228">
        <f>H28*$C$19</f>
        <v>29.629508428799998</v>
      </c>
      <c r="J28" s="228">
        <f>H28*G28</f>
        <v>7.3389190371839996</v>
      </c>
    </row>
    <row r="29" spans="2:17">
      <c r="B29" s="1175"/>
      <c r="C29" s="225" t="s">
        <v>339</v>
      </c>
      <c r="D29" s="226">
        <f>$M$4*11435</f>
        <v>8004.4999999999991</v>
      </c>
      <c r="E29" s="228">
        <f>Wskaźniki!$C$19</f>
        <v>0.72</v>
      </c>
      <c r="F29" s="227">
        <f>Wskaźniki!$C$20</f>
        <v>4.333E-2</v>
      </c>
      <c r="G29" s="227">
        <f>Wskaźniki!$C$21</f>
        <v>7.3330000000000006E-2</v>
      </c>
      <c r="H29" s="228">
        <f t="shared" ref="H29:H39" si="4">D29*E29*F29</f>
        <v>249.72118919999994</v>
      </c>
      <c r="I29" s="228">
        <f t="shared" ref="I29:I39" si="5">H29*$C$19</f>
        <v>69.172769408399986</v>
      </c>
      <c r="J29" s="228">
        <f t="shared" ref="J29:J39" si="6">H29*G29</f>
        <v>18.312054804035999</v>
      </c>
    </row>
    <row r="30" spans="2:17">
      <c r="B30" s="1176"/>
      <c r="C30" s="225" t="s">
        <v>341</v>
      </c>
      <c r="D30" s="226">
        <f>$M$5*11435</f>
        <v>114.35000000000001</v>
      </c>
      <c r="E30" s="228">
        <f>Wskaźniki!$C$19</f>
        <v>0.72</v>
      </c>
      <c r="F30" s="227">
        <f>Wskaźniki!$C$14</f>
        <v>4.7309999999999998E-2</v>
      </c>
      <c r="G30" s="227">
        <f>Wskaźniki!$C$15</f>
        <v>6.2440000000000002E-2</v>
      </c>
      <c r="H30" s="228">
        <f t="shared" si="4"/>
        <v>3.89512692</v>
      </c>
      <c r="I30" s="228">
        <f t="shared" si="5"/>
        <v>1.0789501568400002</v>
      </c>
      <c r="J30" s="228">
        <f t="shared" si="6"/>
        <v>0.2432117248848</v>
      </c>
    </row>
    <row r="31" spans="2:17">
      <c r="B31" s="1174" t="s">
        <v>351</v>
      </c>
      <c r="C31" s="225" t="s">
        <v>19</v>
      </c>
      <c r="D31" s="226">
        <f>$M$3*40000</f>
        <v>11600</v>
      </c>
      <c r="E31" s="228">
        <f>Wskaźniki!$C$19</f>
        <v>0.72</v>
      </c>
      <c r="F31" s="227">
        <f>Wskaźniki!$C$17</f>
        <v>4.48E-2</v>
      </c>
      <c r="G31" s="227">
        <f>Wskaźniki!$C$18</f>
        <v>6.8610000000000004E-2</v>
      </c>
      <c r="H31" s="228">
        <f t="shared" si="4"/>
        <v>374.1696</v>
      </c>
      <c r="I31" s="228">
        <f t="shared" si="5"/>
        <v>103.64497920000001</v>
      </c>
      <c r="J31" s="228">
        <f t="shared" si="6"/>
        <v>25.671776256000001</v>
      </c>
    </row>
    <row r="32" spans="2:17">
      <c r="B32" s="1175"/>
      <c r="C32" s="225" t="s">
        <v>339</v>
      </c>
      <c r="D32" s="226">
        <f>$M$4*40000</f>
        <v>28000</v>
      </c>
      <c r="E32" s="228">
        <f>Wskaźniki!$C$19</f>
        <v>0.72</v>
      </c>
      <c r="F32" s="227">
        <f>Wskaźniki!$C$20</f>
        <v>4.333E-2</v>
      </c>
      <c r="G32" s="227">
        <f>Wskaźniki!$C$21</f>
        <v>7.3330000000000006E-2</v>
      </c>
      <c r="H32" s="228">
        <f t="shared" si="4"/>
        <v>873.53280000000007</v>
      </c>
      <c r="I32" s="228">
        <f t="shared" si="5"/>
        <v>241.96858560000004</v>
      </c>
      <c r="J32" s="228">
        <f t="shared" si="6"/>
        <v>64.05616022400001</v>
      </c>
    </row>
    <row r="33" spans="2:10">
      <c r="B33" s="1176"/>
      <c r="C33" s="225" t="s">
        <v>341</v>
      </c>
      <c r="D33" s="226">
        <f>$M$5*40000</f>
        <v>400</v>
      </c>
      <c r="E33" s="228">
        <f>Wskaźniki!$C$19</f>
        <v>0.72</v>
      </c>
      <c r="F33" s="227">
        <f>Wskaźniki!$C$14</f>
        <v>4.7309999999999998E-2</v>
      </c>
      <c r="G33" s="227">
        <f>Wskaźniki!$C$15</f>
        <v>6.2440000000000002E-2</v>
      </c>
      <c r="H33" s="228">
        <f t="shared" si="4"/>
        <v>13.62528</v>
      </c>
      <c r="I33" s="228">
        <f t="shared" si="5"/>
        <v>3.7742025600000004</v>
      </c>
      <c r="J33" s="228">
        <f t="shared" si="6"/>
        <v>0.85076248320000003</v>
      </c>
    </row>
    <row r="34" spans="2:10">
      <c r="B34" s="1177" t="s">
        <v>388</v>
      </c>
      <c r="C34" s="225" t="s">
        <v>19</v>
      </c>
      <c r="D34" s="226">
        <f>$M$3*10637</f>
        <v>3084.7299999999996</v>
      </c>
      <c r="E34" s="228">
        <f>Wskaźniki!$C$19</f>
        <v>0.72</v>
      </c>
      <c r="F34" s="227">
        <f>Wskaźniki!$C$17</f>
        <v>4.48E-2</v>
      </c>
      <c r="G34" s="227">
        <f>Wskaźniki!$C$18</f>
        <v>6.8610000000000004E-2</v>
      </c>
      <c r="H34" s="228">
        <f t="shared" si="4"/>
        <v>99.50105087999998</v>
      </c>
      <c r="I34" s="228">
        <f t="shared" si="5"/>
        <v>27.561791093759997</v>
      </c>
      <c r="J34" s="228">
        <f t="shared" si="6"/>
        <v>6.8267671008767987</v>
      </c>
    </row>
    <row r="35" spans="2:10">
      <c r="B35" s="1178"/>
      <c r="C35" s="225" t="s">
        <v>339</v>
      </c>
      <c r="D35" s="226">
        <f>$M$3*10637</f>
        <v>3084.7299999999996</v>
      </c>
      <c r="E35" s="228">
        <f>Wskaźniki!$C$19</f>
        <v>0.72</v>
      </c>
      <c r="F35" s="227">
        <f>Wskaźniki!$C$20</f>
        <v>4.333E-2</v>
      </c>
      <c r="G35" s="227">
        <f>Wskaźniki!$C$21</f>
        <v>7.3330000000000006E-2</v>
      </c>
      <c r="H35" s="228">
        <f t="shared" si="4"/>
        <v>96.236172647999979</v>
      </c>
      <c r="I35" s="228">
        <f t="shared" si="5"/>
        <v>26.657419823495996</v>
      </c>
      <c r="J35" s="228">
        <f t="shared" si="6"/>
        <v>7.0569985402778395</v>
      </c>
    </row>
    <row r="36" spans="2:10">
      <c r="B36" s="1179"/>
      <c r="C36" s="225" t="s">
        <v>341</v>
      </c>
      <c r="D36" s="226">
        <f>$M$3*10637</f>
        <v>3084.7299999999996</v>
      </c>
      <c r="E36" s="228">
        <f>Wskaźniki!$C$19</f>
        <v>0.72</v>
      </c>
      <c r="F36" s="227">
        <v>4.7309999999999998E-2</v>
      </c>
      <c r="G36" s="227">
        <v>6.2440000000000002E-2</v>
      </c>
      <c r="H36" s="228">
        <f t="shared" si="4"/>
        <v>105.07577493599997</v>
      </c>
      <c r="I36" s="228">
        <f t="shared" si="5"/>
        <v>29.105989657271994</v>
      </c>
      <c r="J36" s="228">
        <f t="shared" si="6"/>
        <v>6.5609313870038388</v>
      </c>
    </row>
    <row r="37" spans="2:10">
      <c r="B37" s="1177" t="s">
        <v>352</v>
      </c>
      <c r="C37" s="225" t="s">
        <v>19</v>
      </c>
      <c r="D37" s="226">
        <f>$M$3*46000</f>
        <v>13339.999999999998</v>
      </c>
      <c r="E37" s="228">
        <f>Wskaźniki!$C$19</f>
        <v>0.72</v>
      </c>
      <c r="F37" s="227">
        <f>Wskaźniki!$C$17</f>
        <v>4.48E-2</v>
      </c>
      <c r="G37" s="227">
        <f>Wskaźniki!$C$18</f>
        <v>6.8610000000000004E-2</v>
      </c>
      <c r="H37" s="228">
        <f t="shared" si="4"/>
        <v>430.29503999999986</v>
      </c>
      <c r="I37" s="228">
        <f t="shared" si="5"/>
        <v>119.19172607999997</v>
      </c>
      <c r="J37" s="228">
        <f t="shared" si="6"/>
        <v>29.522542694399991</v>
      </c>
    </row>
    <row r="38" spans="2:10">
      <c r="B38" s="1178"/>
      <c r="C38" s="225" t="s">
        <v>339</v>
      </c>
      <c r="D38" s="226">
        <f>$M$4*46000</f>
        <v>32199.999999999996</v>
      </c>
      <c r="E38" s="228">
        <f>Wskaźniki!$C$19</f>
        <v>0.72</v>
      </c>
      <c r="F38" s="227">
        <f>Wskaźniki!$C$20</f>
        <v>4.333E-2</v>
      </c>
      <c r="G38" s="227">
        <f>Wskaźniki!$C$21</f>
        <v>7.3330000000000006E-2</v>
      </c>
      <c r="H38" s="228">
        <f t="shared" si="4"/>
        <v>1004.5627199999999</v>
      </c>
      <c r="I38" s="228">
        <f t="shared" si="5"/>
        <v>278.26387344</v>
      </c>
      <c r="J38" s="228">
        <f t="shared" si="6"/>
        <v>73.664584257599998</v>
      </c>
    </row>
    <row r="39" spans="2:10">
      <c r="B39" s="1179"/>
      <c r="C39" s="225" t="s">
        <v>341</v>
      </c>
      <c r="D39" s="226">
        <f>$M$5*46000</f>
        <v>460</v>
      </c>
      <c r="E39" s="228">
        <f>Wskaźniki!$C$19</f>
        <v>0.72</v>
      </c>
      <c r="F39" s="227">
        <f>Wskaźniki!$C$14</f>
        <v>4.7309999999999998E-2</v>
      </c>
      <c r="G39" s="227">
        <f>Wskaźniki!$C$15</f>
        <v>6.2440000000000002E-2</v>
      </c>
      <c r="H39" s="228">
        <f t="shared" si="4"/>
        <v>15.669071999999998</v>
      </c>
      <c r="I39" s="228">
        <f t="shared" si="5"/>
        <v>4.340332944</v>
      </c>
      <c r="J39" s="228">
        <f t="shared" si="6"/>
        <v>0.97837685567999988</v>
      </c>
    </row>
    <row r="40" spans="2:10">
      <c r="B40" s="1169" t="s">
        <v>3</v>
      </c>
      <c r="C40" s="1170"/>
      <c r="D40" s="234">
        <f>SUM(D28:D39)</f>
        <v>106689.18999999999</v>
      </c>
      <c r="E40" s="562"/>
      <c r="F40" s="235"/>
      <c r="G40" s="235"/>
      <c r="H40" s="236">
        <f>SUM(H28:H39)</f>
        <v>3373.2495609839998</v>
      </c>
      <c r="I40" s="236">
        <f>SUM(I28:I39)</f>
        <v>934.39012839256793</v>
      </c>
      <c r="J40" s="236">
        <f>SUM(J28:J39)</f>
        <v>241.08308536514326</v>
      </c>
    </row>
    <row r="41" spans="2:10">
      <c r="B41" s="242"/>
      <c r="C41" s="242"/>
      <c r="D41" s="241"/>
      <c r="E41" s="563"/>
      <c r="F41" s="241"/>
      <c r="G41" s="241"/>
      <c r="H41" s="241"/>
      <c r="I41" s="241"/>
      <c r="J41" s="241"/>
    </row>
    <row r="42" spans="2:10">
      <c r="B42" s="1171" t="s">
        <v>211</v>
      </c>
      <c r="C42" s="1172"/>
      <c r="D42" s="243"/>
      <c r="E42" s="563"/>
      <c r="F42" s="241"/>
      <c r="G42" s="241"/>
      <c r="H42" s="241"/>
      <c r="I42" s="241"/>
      <c r="J42" s="241"/>
    </row>
    <row r="43" spans="2:10">
      <c r="B43" s="223" t="s">
        <v>212</v>
      </c>
      <c r="C43" s="245">
        <v>3.6</v>
      </c>
      <c r="D43" s="241"/>
      <c r="E43" s="563"/>
      <c r="F43" s="241"/>
      <c r="G43" s="241"/>
      <c r="H43" s="241"/>
      <c r="I43" s="241"/>
      <c r="J43" s="241"/>
    </row>
    <row r="44" spans="2:10">
      <c r="B44" s="223" t="s">
        <v>213</v>
      </c>
      <c r="C44" s="245">
        <v>0.27700000000000002</v>
      </c>
      <c r="D44" s="241"/>
      <c r="E44" s="563"/>
      <c r="F44" s="241"/>
      <c r="G44" s="241"/>
      <c r="H44" s="241"/>
      <c r="I44" s="241"/>
      <c r="J44" s="241"/>
    </row>
    <row r="46" spans="2:10" ht="51">
      <c r="B46" s="1173" t="s">
        <v>355</v>
      </c>
      <c r="C46" s="223">
        <v>2024</v>
      </c>
      <c r="D46" s="223" t="s">
        <v>336</v>
      </c>
      <c r="E46" s="223" t="s">
        <v>337</v>
      </c>
      <c r="F46" s="223" t="s">
        <v>317</v>
      </c>
    </row>
    <row r="47" spans="2:10">
      <c r="B47" s="1173"/>
      <c r="C47" s="227" t="s">
        <v>19</v>
      </c>
      <c r="D47" s="228">
        <f t="shared" ref="D47:F49" si="7">H28+H31+H34+H37</f>
        <v>1010.9314252799999</v>
      </c>
      <c r="E47" s="228">
        <f t="shared" si="7"/>
        <v>280.02800480255996</v>
      </c>
      <c r="F47" s="228">
        <f t="shared" si="7"/>
        <v>69.360005088460795</v>
      </c>
    </row>
    <row r="48" spans="2:10">
      <c r="B48" s="1173"/>
      <c r="C48" s="227" t="s">
        <v>339</v>
      </c>
      <c r="D48" s="228">
        <f t="shared" si="7"/>
        <v>2224.0528818479997</v>
      </c>
      <c r="E48" s="228">
        <f t="shared" si="7"/>
        <v>616.06264827189602</v>
      </c>
      <c r="F48" s="228">
        <f t="shared" si="7"/>
        <v>163.08979782591385</v>
      </c>
    </row>
    <row r="49" spans="2:10">
      <c r="B49" s="1173"/>
      <c r="C49" s="227" t="s">
        <v>341</v>
      </c>
      <c r="D49" s="228">
        <f t="shared" si="7"/>
        <v>138.26525385599996</v>
      </c>
      <c r="E49" s="228">
        <f t="shared" si="7"/>
        <v>38.299475318111988</v>
      </c>
      <c r="F49" s="228">
        <f t="shared" si="7"/>
        <v>8.6332824507686396</v>
      </c>
    </row>
    <row r="50" spans="2:10">
      <c r="B50" s="1169" t="s">
        <v>3</v>
      </c>
      <c r="C50" s="1170"/>
      <c r="D50" s="236">
        <f>SUM(D47:D49)</f>
        <v>3373.2495609839998</v>
      </c>
      <c r="E50" s="236">
        <f>SUM(E47:E49)</f>
        <v>934.39012839256793</v>
      </c>
      <c r="F50" s="236">
        <f>SUM(F47:F49)</f>
        <v>241.08308536514326</v>
      </c>
    </row>
    <row r="52" spans="2:10" ht="38.25">
      <c r="B52" s="223" t="s">
        <v>905</v>
      </c>
      <c r="C52" s="223" t="s">
        <v>354</v>
      </c>
      <c r="D52" s="223" t="s">
        <v>353</v>
      </c>
      <c r="E52" s="223" t="s">
        <v>332</v>
      </c>
      <c r="F52" s="223" t="s">
        <v>335</v>
      </c>
      <c r="G52" s="223" t="s">
        <v>13</v>
      </c>
      <c r="H52" s="223" t="s">
        <v>336</v>
      </c>
      <c r="I52" s="223" t="s">
        <v>337</v>
      </c>
      <c r="J52" s="223" t="s">
        <v>317</v>
      </c>
    </row>
    <row r="53" spans="2:10">
      <c r="B53" s="1174" t="s">
        <v>350</v>
      </c>
      <c r="C53" s="225" t="s">
        <v>19</v>
      </c>
      <c r="D53" s="226">
        <f>$M$3*11435</f>
        <v>3316.1499999999996</v>
      </c>
      <c r="E53" s="228">
        <f>Wskaźniki!$C$19</f>
        <v>0.72</v>
      </c>
      <c r="F53" s="227">
        <f>Wskaźniki!$C$17</f>
        <v>4.48E-2</v>
      </c>
      <c r="G53" s="227">
        <f>Wskaźniki!$C$18</f>
        <v>6.8610000000000004E-2</v>
      </c>
      <c r="H53" s="228">
        <f>D53*E53*F53</f>
        <v>106.96573439999999</v>
      </c>
      <c r="I53" s="228">
        <f>H53*$C$19</f>
        <v>29.629508428799998</v>
      </c>
      <c r="J53" s="228">
        <f>H53*G53</f>
        <v>7.3389190371839996</v>
      </c>
    </row>
    <row r="54" spans="2:10">
      <c r="B54" s="1175"/>
      <c r="C54" s="225" t="s">
        <v>339</v>
      </c>
      <c r="D54" s="226">
        <f>$M$4*11435</f>
        <v>8004.4999999999991</v>
      </c>
      <c r="E54" s="228">
        <f>Wskaźniki!$C$19</f>
        <v>0.72</v>
      </c>
      <c r="F54" s="227">
        <f>Wskaźniki!$C$20</f>
        <v>4.333E-2</v>
      </c>
      <c r="G54" s="227">
        <f>Wskaźniki!$C$21</f>
        <v>7.3330000000000006E-2</v>
      </c>
      <c r="H54" s="228">
        <f t="shared" ref="H54:H64" si="8">D54*E54*F54</f>
        <v>249.72118919999994</v>
      </c>
      <c r="I54" s="228">
        <f t="shared" ref="I54:I64" si="9">H54*$C$19</f>
        <v>69.172769408399986</v>
      </c>
      <c r="J54" s="228">
        <f t="shared" ref="J54:J64" si="10">H54*G54</f>
        <v>18.312054804035999</v>
      </c>
    </row>
    <row r="55" spans="2:10">
      <c r="B55" s="1176"/>
      <c r="C55" s="225" t="s">
        <v>341</v>
      </c>
      <c r="D55" s="226">
        <f>$M$5*11435</f>
        <v>114.35000000000001</v>
      </c>
      <c r="E55" s="228">
        <f>Wskaźniki!$C$19</f>
        <v>0.72</v>
      </c>
      <c r="F55" s="227">
        <f>Wskaźniki!$C$14</f>
        <v>4.7309999999999998E-2</v>
      </c>
      <c r="G55" s="227">
        <f>Wskaźniki!$C$15</f>
        <v>6.2440000000000002E-2</v>
      </c>
      <c r="H55" s="228">
        <f t="shared" si="8"/>
        <v>3.89512692</v>
      </c>
      <c r="I55" s="228">
        <f t="shared" si="9"/>
        <v>1.0789501568400002</v>
      </c>
      <c r="J55" s="228">
        <f t="shared" si="10"/>
        <v>0.2432117248848</v>
      </c>
    </row>
    <row r="56" spans="2:10">
      <c r="B56" s="1174" t="s">
        <v>351</v>
      </c>
      <c r="C56" s="225" t="s">
        <v>19</v>
      </c>
      <c r="D56" s="226">
        <f>$M$3*40000</f>
        <v>11600</v>
      </c>
      <c r="E56" s="228">
        <f>Wskaźniki!$C$19</f>
        <v>0.72</v>
      </c>
      <c r="F56" s="227">
        <f>Wskaźniki!$C$17</f>
        <v>4.48E-2</v>
      </c>
      <c r="G56" s="227">
        <f>Wskaźniki!$C$18</f>
        <v>6.8610000000000004E-2</v>
      </c>
      <c r="H56" s="228">
        <f t="shared" si="8"/>
        <v>374.1696</v>
      </c>
      <c r="I56" s="228">
        <f t="shared" si="9"/>
        <v>103.64497920000001</v>
      </c>
      <c r="J56" s="228">
        <f t="shared" si="10"/>
        <v>25.671776256000001</v>
      </c>
    </row>
    <row r="57" spans="2:10">
      <c r="B57" s="1175"/>
      <c r="C57" s="225" t="s">
        <v>339</v>
      </c>
      <c r="D57" s="226">
        <f>$M$4*40000</f>
        <v>28000</v>
      </c>
      <c r="E57" s="228">
        <f>Wskaźniki!$C$19</f>
        <v>0.72</v>
      </c>
      <c r="F57" s="227">
        <f>Wskaźniki!$C$20</f>
        <v>4.333E-2</v>
      </c>
      <c r="G57" s="227">
        <f>Wskaźniki!$C$21</f>
        <v>7.3330000000000006E-2</v>
      </c>
      <c r="H57" s="228">
        <f t="shared" si="8"/>
        <v>873.53280000000007</v>
      </c>
      <c r="I57" s="228">
        <f t="shared" si="9"/>
        <v>241.96858560000004</v>
      </c>
      <c r="J57" s="228">
        <f t="shared" si="10"/>
        <v>64.05616022400001</v>
      </c>
    </row>
    <row r="58" spans="2:10">
      <c r="B58" s="1176"/>
      <c r="C58" s="225" t="s">
        <v>341</v>
      </c>
      <c r="D58" s="226">
        <f>$M$5*40000</f>
        <v>400</v>
      </c>
      <c r="E58" s="228">
        <f>Wskaźniki!$C$19</f>
        <v>0.72</v>
      </c>
      <c r="F58" s="227">
        <f>Wskaźniki!$C$14</f>
        <v>4.7309999999999998E-2</v>
      </c>
      <c r="G58" s="227">
        <f>Wskaźniki!$C$15</f>
        <v>6.2440000000000002E-2</v>
      </c>
      <c r="H58" s="228">
        <f t="shared" si="8"/>
        <v>13.62528</v>
      </c>
      <c r="I58" s="228">
        <f t="shared" si="9"/>
        <v>3.7742025600000004</v>
      </c>
      <c r="J58" s="228">
        <f t="shared" si="10"/>
        <v>0.85076248320000003</v>
      </c>
    </row>
    <row r="59" spans="2:10">
      <c r="B59" s="1177" t="s">
        <v>388</v>
      </c>
      <c r="C59" s="225" t="s">
        <v>19</v>
      </c>
      <c r="D59" s="226">
        <f>$M$3*10637</f>
        <v>3084.7299999999996</v>
      </c>
      <c r="E59" s="228">
        <f>Wskaźniki!$C$19</f>
        <v>0.72</v>
      </c>
      <c r="F59" s="227">
        <f>Wskaźniki!$C$17</f>
        <v>4.48E-2</v>
      </c>
      <c r="G59" s="227">
        <f>Wskaźniki!$C$18</f>
        <v>6.8610000000000004E-2</v>
      </c>
      <c r="H59" s="228">
        <f t="shared" si="8"/>
        <v>99.50105087999998</v>
      </c>
      <c r="I59" s="228">
        <f t="shared" si="9"/>
        <v>27.561791093759997</v>
      </c>
      <c r="J59" s="228">
        <f t="shared" si="10"/>
        <v>6.8267671008767987</v>
      </c>
    </row>
    <row r="60" spans="2:10">
      <c r="B60" s="1178"/>
      <c r="C60" s="225" t="s">
        <v>339</v>
      </c>
      <c r="D60" s="226">
        <f>$M$3*10637</f>
        <v>3084.7299999999996</v>
      </c>
      <c r="E60" s="228">
        <f>Wskaźniki!$C$19</f>
        <v>0.72</v>
      </c>
      <c r="F60" s="227">
        <f>Wskaźniki!$C$20</f>
        <v>4.333E-2</v>
      </c>
      <c r="G60" s="227">
        <f>Wskaźniki!$C$21</f>
        <v>7.3330000000000006E-2</v>
      </c>
      <c r="H60" s="228">
        <f t="shared" si="8"/>
        <v>96.236172647999979</v>
      </c>
      <c r="I60" s="228">
        <f t="shared" si="9"/>
        <v>26.657419823495996</v>
      </c>
      <c r="J60" s="228">
        <f t="shared" si="10"/>
        <v>7.0569985402778395</v>
      </c>
    </row>
    <row r="61" spans="2:10">
      <c r="B61" s="1179"/>
      <c r="C61" s="225" t="s">
        <v>341</v>
      </c>
      <c r="D61" s="226">
        <f>$M$3*10637</f>
        <v>3084.7299999999996</v>
      </c>
      <c r="E61" s="228">
        <f>Wskaźniki!$C$19</f>
        <v>0.72</v>
      </c>
      <c r="F61" s="227">
        <v>4.7309999999999998E-2</v>
      </c>
      <c r="G61" s="227">
        <v>6.2440000000000002E-2</v>
      </c>
      <c r="H61" s="228">
        <f t="shared" si="8"/>
        <v>105.07577493599997</v>
      </c>
      <c r="I61" s="228">
        <f t="shared" si="9"/>
        <v>29.105989657271994</v>
      </c>
      <c r="J61" s="228">
        <f t="shared" si="10"/>
        <v>6.5609313870038388</v>
      </c>
    </row>
    <row r="62" spans="2:10">
      <c r="B62" s="1177" t="s">
        <v>352</v>
      </c>
      <c r="C62" s="225" t="s">
        <v>19</v>
      </c>
      <c r="D62" s="226">
        <f>$M$3*46000</f>
        <v>13339.999999999998</v>
      </c>
      <c r="E62" s="228">
        <f>Wskaźniki!$C$19</f>
        <v>0.72</v>
      </c>
      <c r="F62" s="227">
        <f>Wskaźniki!$C$17</f>
        <v>4.48E-2</v>
      </c>
      <c r="G62" s="227">
        <f>Wskaźniki!$C$18</f>
        <v>6.8610000000000004E-2</v>
      </c>
      <c r="H62" s="228">
        <f t="shared" si="8"/>
        <v>430.29503999999986</v>
      </c>
      <c r="I62" s="228">
        <f t="shared" si="9"/>
        <v>119.19172607999997</v>
      </c>
      <c r="J62" s="228">
        <f t="shared" si="10"/>
        <v>29.522542694399991</v>
      </c>
    </row>
    <row r="63" spans="2:10">
      <c r="B63" s="1178"/>
      <c r="C63" s="225" t="s">
        <v>339</v>
      </c>
      <c r="D63" s="226">
        <f>$M$4*46000</f>
        <v>32199.999999999996</v>
      </c>
      <c r="E63" s="228">
        <f>Wskaźniki!$C$19</f>
        <v>0.72</v>
      </c>
      <c r="F63" s="227">
        <f>Wskaźniki!$C$20</f>
        <v>4.333E-2</v>
      </c>
      <c r="G63" s="227">
        <f>Wskaźniki!$C$21</f>
        <v>7.3330000000000006E-2</v>
      </c>
      <c r="H63" s="228">
        <f t="shared" si="8"/>
        <v>1004.5627199999999</v>
      </c>
      <c r="I63" s="228">
        <f t="shared" si="9"/>
        <v>278.26387344</v>
      </c>
      <c r="J63" s="228">
        <f t="shared" si="10"/>
        <v>73.664584257599998</v>
      </c>
    </row>
    <row r="64" spans="2:10">
      <c r="B64" s="1179"/>
      <c r="C64" s="225" t="s">
        <v>341</v>
      </c>
      <c r="D64" s="226">
        <f>$M$5*46000</f>
        <v>460</v>
      </c>
      <c r="E64" s="228">
        <f>Wskaźniki!$C$19</f>
        <v>0.72</v>
      </c>
      <c r="F64" s="227">
        <f>Wskaźniki!$C$14</f>
        <v>4.7309999999999998E-2</v>
      </c>
      <c r="G64" s="227">
        <f>Wskaźniki!$C$15</f>
        <v>6.2440000000000002E-2</v>
      </c>
      <c r="H64" s="228">
        <f t="shared" si="8"/>
        <v>15.669071999999998</v>
      </c>
      <c r="I64" s="228">
        <f t="shared" si="9"/>
        <v>4.340332944</v>
      </c>
      <c r="J64" s="228">
        <f t="shared" si="10"/>
        <v>0.97837685567999988</v>
      </c>
    </row>
    <row r="65" spans="2:10">
      <c r="B65" s="1169" t="s">
        <v>3</v>
      </c>
      <c r="C65" s="1170"/>
      <c r="D65" s="234">
        <f>SUM(D53:D64)</f>
        <v>106689.18999999999</v>
      </c>
      <c r="E65" s="562"/>
      <c r="F65" s="235"/>
      <c r="G65" s="235"/>
      <c r="H65" s="236">
        <f>SUM(H53:H64)</f>
        <v>3373.2495609839998</v>
      </c>
      <c r="I65" s="236">
        <f>SUM(I53:I64)</f>
        <v>934.39012839256793</v>
      </c>
      <c r="J65" s="236">
        <f>SUM(J53:J64)</f>
        <v>241.08308536514326</v>
      </c>
    </row>
    <row r="66" spans="2:10">
      <c r="B66" s="242"/>
      <c r="C66" s="242"/>
      <c r="D66" s="241"/>
      <c r="E66" s="563"/>
      <c r="F66" s="241"/>
      <c r="G66" s="241"/>
      <c r="H66" s="241"/>
      <c r="I66" s="241"/>
      <c r="J66" s="241"/>
    </row>
    <row r="67" spans="2:10">
      <c r="B67" s="1171" t="s">
        <v>211</v>
      </c>
      <c r="C67" s="1172"/>
      <c r="D67" s="243"/>
      <c r="E67" s="563"/>
      <c r="F67" s="241"/>
      <c r="G67" s="241"/>
      <c r="H67" s="241"/>
      <c r="I67" s="241"/>
      <c r="J67" s="241"/>
    </row>
    <row r="68" spans="2:10">
      <c r="B68" s="223" t="s">
        <v>212</v>
      </c>
      <c r="C68" s="245">
        <v>3.6</v>
      </c>
      <c r="D68" s="241"/>
      <c r="E68" s="563"/>
      <c r="F68" s="241"/>
      <c r="G68" s="241"/>
      <c r="H68" s="241"/>
      <c r="I68" s="241"/>
      <c r="J68" s="241"/>
    </row>
    <row r="69" spans="2:10">
      <c r="B69" s="223" t="s">
        <v>213</v>
      </c>
      <c r="C69" s="245">
        <v>0.27700000000000002</v>
      </c>
      <c r="D69" s="241"/>
      <c r="E69" s="563"/>
      <c r="F69" s="241"/>
      <c r="G69" s="241"/>
      <c r="H69" s="241"/>
      <c r="I69" s="241"/>
      <c r="J69" s="241"/>
    </row>
    <row r="71" spans="2:10" ht="51">
      <c r="B71" s="1173" t="s">
        <v>355</v>
      </c>
      <c r="C71" s="223" t="s">
        <v>905</v>
      </c>
      <c r="D71" s="223" t="s">
        <v>336</v>
      </c>
      <c r="E71" s="223" t="s">
        <v>337</v>
      </c>
      <c r="F71" s="223" t="s">
        <v>317</v>
      </c>
    </row>
    <row r="72" spans="2:10">
      <c r="B72" s="1173"/>
      <c r="C72" s="227" t="s">
        <v>19</v>
      </c>
      <c r="D72" s="228">
        <f>H53+H56+H59+H62</f>
        <v>1010.9314252799999</v>
      </c>
      <c r="E72" s="228">
        <f t="shared" ref="E72:F74" si="11">I53+I56+I59+I62</f>
        <v>280.02800480255996</v>
      </c>
      <c r="F72" s="228">
        <f t="shared" si="11"/>
        <v>69.360005088460795</v>
      </c>
    </row>
    <row r="73" spans="2:10">
      <c r="B73" s="1173"/>
      <c r="C73" s="227" t="s">
        <v>339</v>
      </c>
      <c r="D73" s="228">
        <f>H54+H57+H60+H63</f>
        <v>2224.0528818479997</v>
      </c>
      <c r="E73" s="228">
        <f t="shared" si="11"/>
        <v>616.06264827189602</v>
      </c>
      <c r="F73" s="228">
        <f t="shared" si="11"/>
        <v>163.08979782591385</v>
      </c>
    </row>
    <row r="74" spans="2:10">
      <c r="B74" s="1173"/>
      <c r="C74" s="227" t="s">
        <v>341</v>
      </c>
      <c r="D74" s="228">
        <f>H55+H58+H61+H64</f>
        <v>138.26525385599996</v>
      </c>
      <c r="E74" s="228">
        <f t="shared" si="11"/>
        <v>38.299475318111988</v>
      </c>
      <c r="F74" s="228">
        <f t="shared" si="11"/>
        <v>8.6332824507686396</v>
      </c>
    </row>
    <row r="75" spans="2:10">
      <c r="B75" s="1169" t="s">
        <v>3</v>
      </c>
      <c r="C75" s="1170"/>
      <c r="D75" s="236">
        <f>SUM(D72:D74)</f>
        <v>3373.2495609839998</v>
      </c>
      <c r="E75" s="236">
        <f>SUM(E72:E74)</f>
        <v>934.39012839256793</v>
      </c>
      <c r="F75" s="236">
        <f>SUM(F72:F74)</f>
        <v>241.08308536514326</v>
      </c>
    </row>
  </sheetData>
  <mergeCells count="25">
    <mergeCell ref="B15:C15"/>
    <mergeCell ref="B17:C17"/>
    <mergeCell ref="B21:B24"/>
    <mergeCell ref="B25:C25"/>
    <mergeCell ref="B53:B55"/>
    <mergeCell ref="B28:B30"/>
    <mergeCell ref="B31:B33"/>
    <mergeCell ref="B34:B36"/>
    <mergeCell ref="B37:B39"/>
    <mergeCell ref="B40:C40"/>
    <mergeCell ref="B42:C42"/>
    <mergeCell ref="B46:B49"/>
    <mergeCell ref="B50:C50"/>
    <mergeCell ref="L2:M2"/>
    <mergeCell ref="B3:B5"/>
    <mergeCell ref="B6:B8"/>
    <mergeCell ref="B9:B11"/>
    <mergeCell ref="B12:B14"/>
    <mergeCell ref="B56:B58"/>
    <mergeCell ref="B65:C65"/>
    <mergeCell ref="B67:C67"/>
    <mergeCell ref="B71:B74"/>
    <mergeCell ref="B75:C75"/>
    <mergeCell ref="B59:B61"/>
    <mergeCell ref="B62:B64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3:E19"/>
  <sheetViews>
    <sheetView showGridLines="0" workbookViewId="0">
      <selection activeCell="H29" sqref="H29"/>
    </sheetView>
  </sheetViews>
  <sheetFormatPr defaultRowHeight="15"/>
  <cols>
    <col min="1" max="1" width="5.5" style="161" customWidth="1"/>
    <col min="2" max="2" width="31.25" style="161" customWidth="1"/>
    <col min="3" max="3" width="22.25" style="135" customWidth="1"/>
    <col min="4" max="5" width="20.75" style="135" customWidth="1"/>
    <col min="6" max="16384" width="9" style="161"/>
  </cols>
  <sheetData>
    <row r="3" spans="2:5">
      <c r="B3" s="217">
        <v>2014</v>
      </c>
      <c r="C3" s="217" t="s">
        <v>358</v>
      </c>
      <c r="D3" s="217" t="s">
        <v>359</v>
      </c>
      <c r="E3" s="217" t="s">
        <v>317</v>
      </c>
    </row>
    <row r="4" spans="2:5">
      <c r="B4" s="217" t="s">
        <v>356</v>
      </c>
      <c r="C4" s="145">
        <f>'Transport prywatny_2020'!E19</f>
        <v>139720.71936636194</v>
      </c>
      <c r="D4" s="145">
        <f>'Transport prywatny_2020'!F19</f>
        <v>38702.63926448227</v>
      </c>
      <c r="E4" s="145">
        <f>'Transport prywatny_2020'!G19</f>
        <v>10109.811562368688</v>
      </c>
    </row>
    <row r="5" spans="2:5">
      <c r="B5" s="217" t="s">
        <v>357</v>
      </c>
      <c r="C5" s="145">
        <f>'Transport komercyjny_2020'!E19</f>
        <v>37220.7556840576</v>
      </c>
      <c r="D5" s="145">
        <f>'Transport komercyjny_2020'!F19</f>
        <v>10310.149324483957</v>
      </c>
      <c r="E5" s="145">
        <f>'Transport komercyjny_2020'!G19</f>
        <v>2675.3082863980503</v>
      </c>
    </row>
    <row r="6" spans="2:5">
      <c r="B6" s="217" t="s">
        <v>512</v>
      </c>
      <c r="C6" s="145">
        <f>'Transport kom. autobusy_2020'!E16</f>
        <v>444.48780600000003</v>
      </c>
      <c r="D6" s="145">
        <f>'Transport kom. autobusy_2020'!F16</f>
        <v>123.12312226200002</v>
      </c>
      <c r="E6" s="145">
        <f>'Transport kom. autobusy_2020'!G16</f>
        <v>32.594290813980002</v>
      </c>
    </row>
    <row r="7" spans="2:5">
      <c r="B7" s="217" t="s">
        <v>348</v>
      </c>
      <c r="C7" s="145">
        <f>'Tabor gminny_2020'!D25</f>
        <v>3373.2495609839998</v>
      </c>
      <c r="D7" s="145">
        <f>'Tabor gminny_2020'!E25</f>
        <v>934.39012839256793</v>
      </c>
      <c r="E7" s="145">
        <f>'Tabor gminny_2020'!F25</f>
        <v>241.08308536514326</v>
      </c>
    </row>
    <row r="8" spans="2:5">
      <c r="B8" s="217" t="s">
        <v>3</v>
      </c>
      <c r="C8" s="145">
        <f>SUM(C4:C7)</f>
        <v>180759.21241740353</v>
      </c>
      <c r="D8" s="145">
        <f>SUM(D4:D7)</f>
        <v>50070.301839620792</v>
      </c>
      <c r="E8" s="145">
        <f>SUM(E4:E7)</f>
        <v>13058.797224945863</v>
      </c>
    </row>
    <row r="10" spans="2:5">
      <c r="B10" s="217" t="s">
        <v>118</v>
      </c>
      <c r="C10" s="217" t="s">
        <v>358</v>
      </c>
      <c r="D10" s="217" t="s">
        <v>359</v>
      </c>
      <c r="E10" s="217" t="s">
        <v>317</v>
      </c>
    </row>
    <row r="11" spans="2:5">
      <c r="B11" s="217" t="s">
        <v>356</v>
      </c>
      <c r="C11" s="145">
        <f>'Transport prywatny_2020'!E34</f>
        <v>138083.38864265996</v>
      </c>
      <c r="D11" s="145">
        <f>'Transport prywatny_2020'!F34</f>
        <v>38249.098654016809</v>
      </c>
      <c r="E11" s="145">
        <f>'Transport prywatny_2020'!G34</f>
        <v>9991.3197908420298</v>
      </c>
    </row>
    <row r="12" spans="2:5">
      <c r="B12" s="217" t="s">
        <v>357</v>
      </c>
      <c r="C12" s="145">
        <f>'Transport komercyjny_2020'!E34</f>
        <v>36783.232107586729</v>
      </c>
      <c r="D12" s="145">
        <f>'Transport komercyjny_2020'!F34</f>
        <v>10188.955293801526</v>
      </c>
      <c r="E12" s="145">
        <f>'Transport komercyjny_2020'!G34</f>
        <v>2643.8604979769143</v>
      </c>
    </row>
    <row r="13" spans="2:5">
      <c r="B13" s="217" t="str">
        <f>B6</f>
        <v>Transport komercyjny autobusy</v>
      </c>
      <c r="C13" s="145">
        <f>'Transport kom. autobusy_2020'!E28</f>
        <v>395.10027200000007</v>
      </c>
      <c r="D13" s="145">
        <f>'Transport kom. autobusy_2020'!F28</f>
        <v>109.44277534400003</v>
      </c>
      <c r="E13" s="145">
        <f>'Transport kom. autobusy_2020'!G28</f>
        <v>28.972702945760009</v>
      </c>
    </row>
    <row r="14" spans="2:5">
      <c r="B14" s="217" t="s">
        <v>348</v>
      </c>
      <c r="C14" s="145">
        <f>'Tabor gminny_2020'!D50</f>
        <v>3373.2495609839998</v>
      </c>
      <c r="D14" s="145">
        <f>'Tabor gminny_2020'!E50</f>
        <v>934.39012839256793</v>
      </c>
      <c r="E14" s="145">
        <f>'Tabor gminny_2020'!F50</f>
        <v>241.08308536514326</v>
      </c>
    </row>
    <row r="15" spans="2:5">
      <c r="B15" s="217" t="s">
        <v>3</v>
      </c>
      <c r="C15" s="145">
        <f>SUM(C11:C14)</f>
        <v>178634.97058323069</v>
      </c>
      <c r="D15" s="145">
        <f>SUM(D11:D14)</f>
        <v>49481.886851554904</v>
      </c>
      <c r="E15" s="145">
        <f>SUM(E11:E14)</f>
        <v>12905.23607712985</v>
      </c>
    </row>
    <row r="19" spans="4:4">
      <c r="D19" s="59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3:E22"/>
  <sheetViews>
    <sheetView showGridLines="0" topLeftCell="B4" workbookViewId="0">
      <selection activeCell="F22" sqref="F22"/>
    </sheetView>
  </sheetViews>
  <sheetFormatPr defaultRowHeight="15"/>
  <cols>
    <col min="1" max="1" width="5.5" style="161" customWidth="1"/>
    <col min="2" max="2" width="31.25" style="161" customWidth="1"/>
    <col min="3" max="3" width="22.25" style="135" customWidth="1"/>
    <col min="4" max="5" width="20.75" style="135" customWidth="1"/>
    <col min="6" max="16384" width="9" style="161"/>
  </cols>
  <sheetData>
    <row r="3" spans="2:5">
      <c r="B3" s="217">
        <v>2014</v>
      </c>
      <c r="C3" s="217" t="s">
        <v>358</v>
      </c>
      <c r="D3" s="217" t="s">
        <v>359</v>
      </c>
      <c r="E3" s="217" t="s">
        <v>317</v>
      </c>
    </row>
    <row r="4" spans="2:5">
      <c r="B4" s="217" t="s">
        <v>356</v>
      </c>
      <c r="C4" s="145">
        <f>'Transport prywatny_2020'!E19</f>
        <v>139720.71936636194</v>
      </c>
      <c r="D4" s="145">
        <f>'Transport prywatny_2020'!F19</f>
        <v>38702.63926448227</v>
      </c>
      <c r="E4" s="145">
        <f>'Transport prywatny_2020'!G19</f>
        <v>10109.811562368688</v>
      </c>
    </row>
    <row r="5" spans="2:5">
      <c r="B5" s="217" t="s">
        <v>357</v>
      </c>
      <c r="C5" s="145">
        <f>'Transport komercyjny_2020'!E19</f>
        <v>37220.7556840576</v>
      </c>
      <c r="D5" s="145">
        <f>'Transport komercyjny_2020'!F19</f>
        <v>10310.149324483957</v>
      </c>
      <c r="E5" s="145">
        <f>'Transport komercyjny_2020'!G19</f>
        <v>2675.3082863980503</v>
      </c>
    </row>
    <row r="6" spans="2:5">
      <c r="B6" s="217" t="s">
        <v>512</v>
      </c>
      <c r="C6" s="145">
        <f>'Transport kom. autobusy_2020'!E16</f>
        <v>444.48780600000003</v>
      </c>
      <c r="D6" s="145">
        <f>'Transport kom. autobusy_2020'!F16</f>
        <v>123.12312226200002</v>
      </c>
      <c r="E6" s="145">
        <f>'Transport kom. autobusy_2020'!G16</f>
        <v>32.594290813980002</v>
      </c>
    </row>
    <row r="7" spans="2:5">
      <c r="B7" s="217" t="s">
        <v>348</v>
      </c>
      <c r="C7" s="145">
        <f>'Tabor gminny_2020'!D25</f>
        <v>3373.2495609839998</v>
      </c>
      <c r="D7" s="145">
        <f>'Tabor gminny_2020'!E25</f>
        <v>934.39012839256793</v>
      </c>
      <c r="E7" s="145">
        <f>'Tabor gminny_2020'!F25</f>
        <v>241.08308536514326</v>
      </c>
    </row>
    <row r="8" spans="2:5">
      <c r="B8" s="217" t="s">
        <v>3</v>
      </c>
      <c r="C8" s="145">
        <f>SUM(C4:C7)</f>
        <v>180759.21241740353</v>
      </c>
      <c r="D8" s="145">
        <f>SUM(D4:D7)</f>
        <v>50070.301839620792</v>
      </c>
      <c r="E8" s="145">
        <f>SUM(E4:E7)</f>
        <v>13058.797224945863</v>
      </c>
    </row>
    <row r="10" spans="2:5">
      <c r="B10" s="217">
        <v>2024</v>
      </c>
      <c r="C10" s="217" t="s">
        <v>358</v>
      </c>
      <c r="D10" s="217" t="s">
        <v>359</v>
      </c>
      <c r="E10" s="217" t="s">
        <v>317</v>
      </c>
    </row>
    <row r="11" spans="2:5">
      <c r="B11" s="217" t="s">
        <v>356</v>
      </c>
      <c r="C11" s="145">
        <f>'Transport prywatny_2024'!E38</f>
        <v>160345.22932308662</v>
      </c>
      <c r="D11" s="145">
        <f>'Transport prywatny_2024'!F38</f>
        <v>44415.628522494997</v>
      </c>
      <c r="E11" s="145">
        <f>'Transport prywatny_2024'!G38</f>
        <v>11083.650911690631</v>
      </c>
    </row>
    <row r="12" spans="2:5">
      <c r="B12" s="217" t="s">
        <v>357</v>
      </c>
      <c r="C12" s="145">
        <f>'Transport komercyjny_2024'!E34</f>
        <v>50559.750775943197</v>
      </c>
      <c r="D12" s="145">
        <f>'Transport komercyjny_2024'!F34</f>
        <v>14005.050964936268</v>
      </c>
      <c r="E12" s="145">
        <f>'Transport komercyjny_2024'!G34</f>
        <v>3621.282085384018</v>
      </c>
    </row>
    <row r="13" spans="2:5">
      <c r="B13" s="217" t="str">
        <f>B6</f>
        <v>Transport komercyjny autobusy</v>
      </c>
      <c r="C13" s="145">
        <f>'Transport kom. autobusy_2024'!E28</f>
        <v>444.48780600000003</v>
      </c>
      <c r="D13" s="145">
        <f>'Transport kom. autobusy_2024'!F28</f>
        <v>123.12312226200002</v>
      </c>
      <c r="E13" s="145">
        <f>'Transport kom. autobusy_2024'!G28</f>
        <v>32.594290813980002</v>
      </c>
    </row>
    <row r="14" spans="2:5">
      <c r="B14" s="217" t="s">
        <v>348</v>
      </c>
      <c r="C14" s="145">
        <f>'Tabor gminny_2024'!D50</f>
        <v>3373.2495609839998</v>
      </c>
      <c r="D14" s="145">
        <f>'Tabor gminny_2024'!E50</f>
        <v>934.39012839256793</v>
      </c>
      <c r="E14" s="145">
        <f>'Tabor gminny_2024'!F50</f>
        <v>241.08308536514326</v>
      </c>
    </row>
    <row r="15" spans="2:5">
      <c r="B15" s="217" t="s">
        <v>3</v>
      </c>
      <c r="C15" s="145">
        <f>SUM(C11:C14)</f>
        <v>214722.7174660138</v>
      </c>
      <c r="D15" s="145">
        <f>SUM(D11:D14)</f>
        <v>59478.192738085825</v>
      </c>
      <c r="E15" s="145">
        <f>SUM(E11:E14)</f>
        <v>14978.610373253774</v>
      </c>
    </row>
    <row r="17" spans="2:5">
      <c r="B17" s="217" t="s">
        <v>905</v>
      </c>
      <c r="C17" s="217" t="s">
        <v>358</v>
      </c>
      <c r="D17" s="217" t="s">
        <v>359</v>
      </c>
      <c r="E17" s="217" t="s">
        <v>317</v>
      </c>
    </row>
    <row r="18" spans="2:5">
      <c r="B18" s="217" t="s">
        <v>356</v>
      </c>
      <c r="C18" s="145">
        <f>'Transport prywatny_2024'!E54</f>
        <v>125303.84983952912</v>
      </c>
      <c r="D18" s="145">
        <f>'Transport prywatny_2024'!F54</f>
        <v>34709.166405549571</v>
      </c>
      <c r="E18" s="145">
        <f>'Transport prywatny_2024'!G54</f>
        <v>9063.0761272030813</v>
      </c>
    </row>
    <row r="19" spans="2:5">
      <c r="B19" s="217" t="s">
        <v>357</v>
      </c>
      <c r="C19" s="145">
        <f>'Transport komercyjny_2024'!E49</f>
        <v>44574.087585844121</v>
      </c>
      <c r="D19" s="145">
        <f>'Transport komercyjny_2024'!F49</f>
        <v>12347.022261278824</v>
      </c>
      <c r="E19" s="145">
        <f>'Transport komercyjny_2024'!G49</f>
        <v>3192.5660702377982</v>
      </c>
    </row>
    <row r="20" spans="2:5">
      <c r="B20" s="217" t="str">
        <f>B13</f>
        <v>Transport komercyjny autobusy</v>
      </c>
      <c r="C20" s="145">
        <f>'Transport kom. autobusy_2024'!E41</f>
        <v>444.48780600000003</v>
      </c>
      <c r="D20" s="145">
        <f>'Transport kom. autobusy_2024'!F41</f>
        <v>123.12312226200002</v>
      </c>
      <c r="E20" s="145">
        <f>'Transport kom. autobusy_2024'!G41</f>
        <v>32.594290813980002</v>
      </c>
    </row>
    <row r="21" spans="2:5">
      <c r="B21" s="217" t="s">
        <v>348</v>
      </c>
      <c r="C21" s="145">
        <f>'Tabor gminny_2024'!D75</f>
        <v>3373.2495609839998</v>
      </c>
      <c r="D21" s="145">
        <f>'Tabor gminny_2024'!E75</f>
        <v>934.39012839256793</v>
      </c>
      <c r="E21" s="145">
        <f>'Tabor gminny_2024'!F75</f>
        <v>241.08308536514326</v>
      </c>
    </row>
    <row r="22" spans="2:5">
      <c r="B22" s="217" t="s">
        <v>3</v>
      </c>
      <c r="C22" s="145">
        <f>SUM(C18:C21)</f>
        <v>173695.67479235723</v>
      </c>
      <c r="D22" s="145">
        <f>SUM(D18:D21)</f>
        <v>48113.701917482962</v>
      </c>
      <c r="E22" s="145">
        <f>SUM(E18:E21)</f>
        <v>12529.319573620005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2:U104"/>
  <sheetViews>
    <sheetView showGridLines="0" topLeftCell="A28" zoomScale="60" zoomScaleNormal="60" workbookViewId="0">
      <selection activeCell="U29" sqref="U29"/>
    </sheetView>
  </sheetViews>
  <sheetFormatPr defaultRowHeight="14.25"/>
  <cols>
    <col min="1" max="1" width="2.75" customWidth="1"/>
    <col min="2" max="2" width="59.125" customWidth="1"/>
    <col min="3" max="3" width="11.125" customWidth="1"/>
    <col min="4" max="4" width="11.625" customWidth="1"/>
    <col min="5" max="5" width="12.625" customWidth="1"/>
    <col min="6" max="6" width="9.75" customWidth="1"/>
    <col min="7" max="7" width="9.625" customWidth="1"/>
    <col min="8" max="8" width="12.625" customWidth="1"/>
    <col min="9" max="9" width="11.125" customWidth="1"/>
    <col min="10" max="10" width="12.125" customWidth="1"/>
    <col min="11" max="11" width="11.75" customWidth="1"/>
    <col min="12" max="12" width="9.375" customWidth="1"/>
    <col min="13" max="13" width="10.875" customWidth="1"/>
    <col min="14" max="14" width="12.5" customWidth="1"/>
    <col min="15" max="15" width="8.875" customWidth="1"/>
    <col min="16" max="16" width="13.5" customWidth="1"/>
    <col min="17" max="17" width="15.375" customWidth="1"/>
    <col min="18" max="18" width="16.625" customWidth="1"/>
  </cols>
  <sheetData>
    <row r="2" spans="2:18" ht="15.75">
      <c r="B2" s="1187" t="s">
        <v>457</v>
      </c>
      <c r="C2" s="1188"/>
      <c r="D2" s="391"/>
      <c r="E2" s="391"/>
      <c r="F2" s="391"/>
      <c r="G2" s="391"/>
      <c r="H2" s="392"/>
      <c r="I2" s="392"/>
      <c r="J2" s="393"/>
      <c r="K2" s="393"/>
      <c r="L2" s="392"/>
      <c r="M2" s="392"/>
      <c r="N2" s="392"/>
      <c r="O2" s="392"/>
      <c r="P2" s="392"/>
      <c r="Q2" s="392"/>
      <c r="R2" s="392"/>
    </row>
    <row r="3" spans="2:18">
      <c r="B3" s="1189"/>
      <c r="C3" s="1189"/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</row>
    <row r="4" spans="2:18" ht="17.25" customHeight="1" thickBot="1"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</row>
    <row r="5" spans="2:18" ht="33" customHeight="1" thickTop="1" thickBot="1">
      <c r="B5" s="1190" t="s">
        <v>376</v>
      </c>
      <c r="C5" s="1193" t="s">
        <v>494</v>
      </c>
      <c r="D5" s="1194"/>
      <c r="E5" s="1194"/>
      <c r="F5" s="1194"/>
      <c r="G5" s="1194"/>
      <c r="H5" s="1194"/>
      <c r="I5" s="1194"/>
      <c r="J5" s="1194"/>
      <c r="K5" s="1194"/>
      <c r="L5" s="1194"/>
      <c r="M5" s="1194"/>
      <c r="N5" s="1194"/>
      <c r="O5" s="1194"/>
      <c r="P5" s="1194"/>
      <c r="Q5" s="1194"/>
      <c r="R5" s="1195"/>
    </row>
    <row r="6" spans="2:18" ht="21" customHeight="1" thickTop="1">
      <c r="B6" s="1191"/>
      <c r="C6" s="1196" t="s">
        <v>113</v>
      </c>
      <c r="D6" s="1198" t="s">
        <v>60</v>
      </c>
      <c r="E6" s="1200" t="s">
        <v>377</v>
      </c>
      <c r="F6" s="1201"/>
      <c r="G6" s="1201"/>
      <c r="H6" s="1201"/>
      <c r="I6" s="1201"/>
      <c r="J6" s="1201"/>
      <c r="K6" s="1201"/>
      <c r="L6" s="1202"/>
      <c r="M6" s="1200" t="s">
        <v>378</v>
      </c>
      <c r="N6" s="1201"/>
      <c r="O6" s="1201"/>
      <c r="P6" s="1201"/>
      <c r="Q6" s="1203"/>
      <c r="R6" s="1181" t="s">
        <v>379</v>
      </c>
    </row>
    <row r="7" spans="2:18" ht="45.75" thickBot="1">
      <c r="B7" s="1192"/>
      <c r="C7" s="1197"/>
      <c r="D7" s="1199"/>
      <c r="E7" s="395" t="s">
        <v>458</v>
      </c>
      <c r="F7" s="395" t="s">
        <v>380</v>
      </c>
      <c r="G7" s="396" t="s">
        <v>59</v>
      </c>
      <c r="H7" s="395" t="s">
        <v>81</v>
      </c>
      <c r="I7" s="395" t="s">
        <v>19</v>
      </c>
      <c r="J7" s="395" t="s">
        <v>459</v>
      </c>
      <c r="K7" s="397" t="s">
        <v>460</v>
      </c>
      <c r="L7" s="397" t="s">
        <v>461</v>
      </c>
      <c r="M7" s="396" t="s">
        <v>462</v>
      </c>
      <c r="N7" s="398" t="s">
        <v>463</v>
      </c>
      <c r="O7" s="398" t="s">
        <v>464</v>
      </c>
      <c r="P7" s="398" t="s">
        <v>465</v>
      </c>
      <c r="Q7" s="399" t="s">
        <v>466</v>
      </c>
      <c r="R7" s="1182"/>
    </row>
    <row r="8" spans="2:18" ht="16.5" thickTop="1">
      <c r="B8" s="502" t="s">
        <v>467</v>
      </c>
      <c r="C8" s="1183" t="s">
        <v>381</v>
      </c>
      <c r="D8" s="1183"/>
      <c r="E8" s="1183"/>
      <c r="F8" s="1183"/>
      <c r="G8" s="1183"/>
      <c r="H8" s="1183"/>
      <c r="I8" s="1183"/>
      <c r="J8" s="1183"/>
      <c r="K8" s="1183"/>
      <c r="L8" s="1183"/>
      <c r="M8" s="1183"/>
      <c r="N8" s="1183"/>
      <c r="O8" s="1183"/>
      <c r="P8" s="1183"/>
      <c r="Q8" s="1184"/>
      <c r="R8" s="400"/>
    </row>
    <row r="9" spans="2:18">
      <c r="B9" s="503" t="s">
        <v>468</v>
      </c>
      <c r="C9" s="479">
        <f>'En. elektryczna_2020'!D10</f>
        <v>292.51</v>
      </c>
      <c r="D9" s="480">
        <f>'Ciepło sieciowe_2020'!D7*0.277</f>
        <v>842.08</v>
      </c>
      <c r="E9" s="480">
        <f>Gaz_2020!F10</f>
        <v>8956.7805555555551</v>
      </c>
      <c r="F9" s="480">
        <v>0</v>
      </c>
      <c r="G9" s="480">
        <v>0</v>
      </c>
      <c r="H9" s="480">
        <v>0</v>
      </c>
      <c r="I9" s="480">
        <v>0</v>
      </c>
      <c r="J9" s="480">
        <v>0</v>
      </c>
      <c r="K9" s="480">
        <f>'Budynki komunalne_2014'!H8</f>
        <v>180.82560000000001</v>
      </c>
      <c r="L9" s="480">
        <v>0</v>
      </c>
      <c r="M9" s="480">
        <v>0</v>
      </c>
      <c r="N9" s="480">
        <v>0</v>
      </c>
      <c r="O9" s="480">
        <v>0</v>
      </c>
      <c r="P9" s="480">
        <v>0</v>
      </c>
      <c r="Q9" s="492">
        <v>0</v>
      </c>
      <c r="R9" s="493">
        <f>SUM(C9:Q9)</f>
        <v>10272.196155555555</v>
      </c>
    </row>
    <row r="10" spans="2:18">
      <c r="B10" s="504" t="s">
        <v>469</v>
      </c>
      <c r="C10" s="479">
        <f>'En. elektryczna_2020'!D8</f>
        <v>10353.9</v>
      </c>
      <c r="D10" s="480">
        <f>'Ciepło sieciowe_2020'!D8*D48</f>
        <v>96.95</v>
      </c>
      <c r="E10" s="480">
        <f>Gaz_2020!F8</f>
        <v>10721.001404444445</v>
      </c>
      <c r="F10" s="480">
        <v>0</v>
      </c>
      <c r="G10" s="480">
        <f>'Budynki niekomunalne_2024'!H12</f>
        <v>35.600040000000007</v>
      </c>
      <c r="H10" s="480">
        <v>0</v>
      </c>
      <c r="I10" s="480">
        <v>0</v>
      </c>
      <c r="J10" s="480">
        <v>0</v>
      </c>
      <c r="K10" s="480">
        <v>0</v>
      </c>
      <c r="L10" s="480">
        <v>0</v>
      </c>
      <c r="M10" s="480">
        <v>0</v>
      </c>
      <c r="N10" s="480">
        <v>0</v>
      </c>
      <c r="O10" s="480">
        <v>0</v>
      </c>
      <c r="P10" s="480">
        <v>0</v>
      </c>
      <c r="Q10" s="492">
        <v>0</v>
      </c>
      <c r="R10" s="485">
        <f>SUM(C10:Q10)</f>
        <v>21207.451444444447</v>
      </c>
    </row>
    <row r="11" spans="2:18">
      <c r="B11" s="503" t="s">
        <v>312</v>
      </c>
      <c r="C11" s="479">
        <f>'En. elektryczna_2020'!D9</f>
        <v>9189.08</v>
      </c>
      <c r="D11" s="480">
        <f>'Ciepło sieciowe_2020'!D6*D48</f>
        <v>7777.8830000000007</v>
      </c>
      <c r="E11" s="480">
        <f>Gaz_2020!F9</f>
        <v>25572.258333333335</v>
      </c>
      <c r="F11" s="480">
        <v>0</v>
      </c>
      <c r="G11" s="480">
        <f>'Ciepło_gosp. dom._2020'!H9</f>
        <v>1526.4760895793847</v>
      </c>
      <c r="H11" s="480">
        <v>0</v>
      </c>
      <c r="I11" s="480">
        <v>0</v>
      </c>
      <c r="J11" s="480">
        <v>0</v>
      </c>
      <c r="K11" s="480">
        <f>'Ciepło_gosp. dom._2020'!H7</f>
        <v>28118.790118769914</v>
      </c>
      <c r="L11" s="480">
        <v>0</v>
      </c>
      <c r="M11" s="480">
        <v>0</v>
      </c>
      <c r="N11" s="480">
        <v>0</v>
      </c>
      <c r="O11" s="480">
        <f>'Ciepło_gosp. dom._2020'!H10</f>
        <v>5398.5884287839172</v>
      </c>
      <c r="P11" s="480">
        <v>0</v>
      </c>
      <c r="Q11" s="492">
        <v>0</v>
      </c>
      <c r="R11" s="485">
        <f>SUM(C11:Q11)</f>
        <v>77583.075970466554</v>
      </c>
    </row>
    <row r="12" spans="2:18">
      <c r="B12" s="503" t="s">
        <v>389</v>
      </c>
      <c r="C12" s="479">
        <f>'En. elektryczna_2020'!D11</f>
        <v>1282</v>
      </c>
      <c r="D12" s="480">
        <v>0</v>
      </c>
      <c r="E12" s="480">
        <v>0</v>
      </c>
      <c r="F12" s="480">
        <v>0</v>
      </c>
      <c r="G12" s="480">
        <v>0</v>
      </c>
      <c r="H12" s="480">
        <v>0</v>
      </c>
      <c r="I12" s="480">
        <v>0</v>
      </c>
      <c r="J12" s="480">
        <v>0</v>
      </c>
      <c r="K12" s="480">
        <v>0</v>
      </c>
      <c r="L12" s="480">
        <v>0</v>
      </c>
      <c r="M12" s="480">
        <v>0</v>
      </c>
      <c r="N12" s="480">
        <v>0</v>
      </c>
      <c r="O12" s="480">
        <v>0</v>
      </c>
      <c r="P12" s="480">
        <v>0</v>
      </c>
      <c r="Q12" s="492">
        <v>0</v>
      </c>
      <c r="R12" s="485">
        <f>SUM(C12:Q12)</f>
        <v>1282</v>
      </c>
    </row>
    <row r="13" spans="2:18" ht="29.25" thickBot="1">
      <c r="B13" s="505" t="s">
        <v>470</v>
      </c>
      <c r="C13" s="494">
        <f>'En. elektryczna_2020'!D7</f>
        <v>5153.6499999999996</v>
      </c>
      <c r="D13" s="482">
        <v>0</v>
      </c>
      <c r="E13" s="483">
        <f>Gaz_2020!F7</f>
        <v>528.81909222222214</v>
      </c>
      <c r="F13" s="483">
        <v>0</v>
      </c>
      <c r="G13" s="483">
        <v>0</v>
      </c>
      <c r="H13" s="480">
        <v>0</v>
      </c>
      <c r="I13" s="480">
        <v>0</v>
      </c>
      <c r="J13" s="483">
        <v>0</v>
      </c>
      <c r="K13" s="494">
        <v>0</v>
      </c>
      <c r="L13" s="480">
        <v>0</v>
      </c>
      <c r="M13" s="480">
        <v>0</v>
      </c>
      <c r="N13" s="480">
        <v>0</v>
      </c>
      <c r="O13" s="480">
        <v>0</v>
      </c>
      <c r="P13" s="482">
        <v>0</v>
      </c>
      <c r="Q13" s="495">
        <v>0</v>
      </c>
      <c r="R13" s="496">
        <f>SUM(C13:Q13)</f>
        <v>5682.4690922222217</v>
      </c>
    </row>
    <row r="14" spans="2:18" ht="15.75" thickBot="1">
      <c r="B14" s="506" t="s">
        <v>471</v>
      </c>
      <c r="C14" s="500">
        <f t="shared" ref="C14:R14" si="0">SUM(C9:C13)</f>
        <v>26271.14</v>
      </c>
      <c r="D14" s="484">
        <f>SUM(D9:D13)</f>
        <v>8716.9130000000005</v>
      </c>
      <c r="E14" s="484">
        <f t="shared" si="0"/>
        <v>45778.859385555559</v>
      </c>
      <c r="F14" s="484">
        <f t="shared" si="0"/>
        <v>0</v>
      </c>
      <c r="G14" s="484">
        <f t="shared" si="0"/>
        <v>1562.0761295793848</v>
      </c>
      <c r="H14" s="484">
        <f t="shared" si="0"/>
        <v>0</v>
      </c>
      <c r="I14" s="484">
        <f t="shared" si="0"/>
        <v>0</v>
      </c>
      <c r="J14" s="484">
        <f t="shared" si="0"/>
        <v>0</v>
      </c>
      <c r="K14" s="484">
        <f t="shared" si="0"/>
        <v>28299.615718769914</v>
      </c>
      <c r="L14" s="484">
        <f t="shared" si="0"/>
        <v>0</v>
      </c>
      <c r="M14" s="484">
        <f t="shared" si="0"/>
        <v>0</v>
      </c>
      <c r="N14" s="484">
        <f t="shared" si="0"/>
        <v>0</v>
      </c>
      <c r="O14" s="484">
        <f t="shared" si="0"/>
        <v>5398.5884287839172</v>
      </c>
      <c r="P14" s="484">
        <f t="shared" si="0"/>
        <v>0</v>
      </c>
      <c r="Q14" s="484">
        <f t="shared" si="0"/>
        <v>0</v>
      </c>
      <c r="R14" s="484">
        <f t="shared" si="0"/>
        <v>116027.19266268879</v>
      </c>
    </row>
    <row r="15" spans="2:18" ht="15.75">
      <c r="B15" s="507" t="s">
        <v>384</v>
      </c>
      <c r="C15" s="1185"/>
      <c r="D15" s="1185"/>
      <c r="E15" s="1185"/>
      <c r="F15" s="1185"/>
      <c r="G15" s="1185"/>
      <c r="H15" s="1185"/>
      <c r="I15" s="1185"/>
      <c r="J15" s="1185"/>
      <c r="K15" s="1185"/>
      <c r="L15" s="1185"/>
      <c r="M15" s="1185"/>
      <c r="N15" s="1185"/>
      <c r="O15" s="1185"/>
      <c r="P15" s="1185"/>
      <c r="Q15" s="1186"/>
      <c r="R15" s="497"/>
    </row>
    <row r="16" spans="2:18">
      <c r="B16" s="503" t="s">
        <v>348</v>
      </c>
      <c r="C16" s="479">
        <v>0</v>
      </c>
      <c r="D16" s="479">
        <v>0</v>
      </c>
      <c r="E16" s="479">
        <v>0</v>
      </c>
      <c r="F16" s="480">
        <f>'Tabor gminny_2020'!E49</f>
        <v>38.299475318111988</v>
      </c>
      <c r="G16" s="480">
        <v>0</v>
      </c>
      <c r="H16" s="480">
        <f>'Tabor gminny_2020'!E23</f>
        <v>616.06264827189602</v>
      </c>
      <c r="I16" s="480">
        <f>'Tabor gminny_2020'!E22</f>
        <v>280.02800480255996</v>
      </c>
      <c r="J16" s="480">
        <v>0</v>
      </c>
      <c r="K16" s="480">
        <v>0</v>
      </c>
      <c r="L16" s="480">
        <v>0</v>
      </c>
      <c r="M16" s="480">
        <v>0</v>
      </c>
      <c r="N16" s="480">
        <v>0</v>
      </c>
      <c r="O16" s="480">
        <v>0</v>
      </c>
      <c r="P16" s="480">
        <v>0</v>
      </c>
      <c r="Q16" s="480">
        <v>0</v>
      </c>
      <c r="R16" s="479">
        <f>SUM(C16:Q16)</f>
        <v>934.39012839256793</v>
      </c>
    </row>
    <row r="17" spans="2:21">
      <c r="B17" s="503" t="s">
        <v>512</v>
      </c>
      <c r="C17" s="479">
        <v>0</v>
      </c>
      <c r="D17" s="479">
        <v>0</v>
      </c>
      <c r="E17" s="479">
        <v>0</v>
      </c>
      <c r="F17" s="480">
        <v>0</v>
      </c>
      <c r="G17" s="480">
        <v>0</v>
      </c>
      <c r="H17" s="480">
        <f>'Transport kom. autobusy_2020'!F14</f>
        <v>123.12312226200002</v>
      </c>
      <c r="I17" s="480">
        <f>'Transport kom. autobusy_2020'!L3</f>
        <v>0</v>
      </c>
      <c r="J17" s="480">
        <v>0</v>
      </c>
      <c r="K17" s="480">
        <v>0</v>
      </c>
      <c r="L17" s="480">
        <v>0</v>
      </c>
      <c r="M17" s="480">
        <v>0</v>
      </c>
      <c r="N17" s="480">
        <v>0</v>
      </c>
      <c r="O17" s="480">
        <v>0</v>
      </c>
      <c r="P17" s="480">
        <v>0</v>
      </c>
      <c r="Q17" s="480">
        <v>0</v>
      </c>
      <c r="R17" s="479">
        <f>SUM(C17:Q17)</f>
        <v>123.12312226200002</v>
      </c>
    </row>
    <row r="18" spans="2:21">
      <c r="B18" s="503" t="s">
        <v>356</v>
      </c>
      <c r="C18" s="479">
        <v>0</v>
      </c>
      <c r="D18" s="479">
        <v>0</v>
      </c>
      <c r="E18" s="479">
        <v>0</v>
      </c>
      <c r="F18" s="480">
        <f>'Transport prywatny_2020'!F18</f>
        <v>401.85127194248054</v>
      </c>
      <c r="G18" s="480">
        <v>0</v>
      </c>
      <c r="H18" s="480">
        <f>'Transport prywatny_2020'!F17</f>
        <v>31251.937539805833</v>
      </c>
      <c r="I18" s="480">
        <f>'Transport prywatny_2020'!F16</f>
        <v>7048.8504527339528</v>
      </c>
      <c r="J18" s="480">
        <v>0</v>
      </c>
      <c r="K18" s="480">
        <v>0</v>
      </c>
      <c r="L18" s="480">
        <v>0</v>
      </c>
      <c r="M18" s="480">
        <v>0</v>
      </c>
      <c r="N18" s="480">
        <v>0</v>
      </c>
      <c r="O18" s="480">
        <v>0</v>
      </c>
      <c r="P18" s="480">
        <v>0</v>
      </c>
      <c r="Q18" s="480">
        <v>0</v>
      </c>
      <c r="R18" s="479">
        <f>SUM(C18:Q18)</f>
        <v>38702.639264482263</v>
      </c>
    </row>
    <row r="19" spans="2:21">
      <c r="B19" s="503" t="s">
        <v>590</v>
      </c>
      <c r="C19" s="479">
        <v>0</v>
      </c>
      <c r="D19" s="479">
        <v>0</v>
      </c>
      <c r="E19" s="479">
        <v>0</v>
      </c>
      <c r="F19" s="480">
        <v>0</v>
      </c>
      <c r="G19" s="480">
        <v>0</v>
      </c>
      <c r="H19" s="480">
        <v>0</v>
      </c>
      <c r="I19" s="480">
        <v>0</v>
      </c>
      <c r="J19" s="480">
        <v>0</v>
      </c>
      <c r="K19" s="480">
        <v>0</v>
      </c>
      <c r="L19" s="480">
        <v>0</v>
      </c>
      <c r="M19" s="480">
        <v>0</v>
      </c>
      <c r="N19" s="480">
        <v>0</v>
      </c>
      <c r="O19" s="480">
        <v>0</v>
      </c>
      <c r="P19" s="480">
        <v>0</v>
      </c>
      <c r="Q19" s="480">
        <v>0</v>
      </c>
      <c r="R19" s="479">
        <v>0</v>
      </c>
    </row>
    <row r="20" spans="2:21">
      <c r="B20" s="503" t="s">
        <v>357</v>
      </c>
      <c r="C20" s="479">
        <v>0</v>
      </c>
      <c r="D20" s="479">
        <v>0</v>
      </c>
      <c r="E20" s="479">
        <v>0</v>
      </c>
      <c r="F20" s="480">
        <f>'Transport komercyjny_2020'!F18</f>
        <v>0</v>
      </c>
      <c r="G20" s="480">
        <v>0</v>
      </c>
      <c r="H20" s="480">
        <f>'Transport komercyjny_2020'!F17</f>
        <v>7135.8157159778957</v>
      </c>
      <c r="I20" s="480">
        <f>'Transport komercyjny_2020'!F16</f>
        <v>3174.333608506061</v>
      </c>
      <c r="J20" s="480">
        <v>0</v>
      </c>
      <c r="K20" s="480">
        <v>0</v>
      </c>
      <c r="L20" s="480">
        <v>0</v>
      </c>
      <c r="M20" s="480">
        <v>0</v>
      </c>
      <c r="N20" s="480">
        <v>0</v>
      </c>
      <c r="O20" s="480">
        <v>0</v>
      </c>
      <c r="P20" s="480">
        <v>0</v>
      </c>
      <c r="Q20" s="480">
        <v>0</v>
      </c>
      <c r="R20" s="479">
        <f>SUM(C20:Q20)</f>
        <v>10310.149324483957</v>
      </c>
    </row>
    <row r="21" spans="2:21" ht="15.75" thickBot="1">
      <c r="B21" s="508" t="s">
        <v>472</v>
      </c>
      <c r="C21" s="486">
        <f t="shared" ref="C21:R21" si="1">SUM(C16:C20)</f>
        <v>0</v>
      </c>
      <c r="D21" s="498">
        <f t="shared" si="1"/>
        <v>0</v>
      </c>
      <c r="E21" s="498">
        <f t="shared" si="1"/>
        <v>0</v>
      </c>
      <c r="F21" s="498">
        <f t="shared" si="1"/>
        <v>440.15074726059254</v>
      </c>
      <c r="G21" s="498">
        <f t="shared" si="1"/>
        <v>0</v>
      </c>
      <c r="H21" s="498">
        <f t="shared" si="1"/>
        <v>39126.939026317625</v>
      </c>
      <c r="I21" s="498">
        <f t="shared" si="1"/>
        <v>10503.212066042573</v>
      </c>
      <c r="J21" s="498">
        <f t="shared" si="1"/>
        <v>0</v>
      </c>
      <c r="K21" s="498">
        <f t="shared" si="1"/>
        <v>0</v>
      </c>
      <c r="L21" s="498">
        <f t="shared" si="1"/>
        <v>0</v>
      </c>
      <c r="M21" s="498">
        <f t="shared" si="1"/>
        <v>0</v>
      </c>
      <c r="N21" s="498">
        <f t="shared" si="1"/>
        <v>0</v>
      </c>
      <c r="O21" s="498">
        <f t="shared" si="1"/>
        <v>0</v>
      </c>
      <c r="P21" s="498">
        <f t="shared" si="1"/>
        <v>0</v>
      </c>
      <c r="Q21" s="498">
        <f t="shared" si="1"/>
        <v>0</v>
      </c>
      <c r="R21" s="498">
        <f t="shared" si="1"/>
        <v>50070.301839620792</v>
      </c>
    </row>
    <row r="22" spans="2:21" ht="17.25" customHeight="1" thickTop="1" thickBot="1">
      <c r="B22" s="509" t="s">
        <v>379</v>
      </c>
      <c r="C22" s="501">
        <f t="shared" ref="C22:R22" si="2">C21+C14</f>
        <v>26271.14</v>
      </c>
      <c r="D22" s="499">
        <f t="shared" si="2"/>
        <v>8716.9130000000005</v>
      </c>
      <c r="E22" s="499">
        <f t="shared" si="2"/>
        <v>45778.859385555559</v>
      </c>
      <c r="F22" s="499">
        <f t="shared" si="2"/>
        <v>440.15074726059254</v>
      </c>
      <c r="G22" s="499">
        <f t="shared" si="2"/>
        <v>1562.0761295793848</v>
      </c>
      <c r="H22" s="499">
        <f t="shared" si="2"/>
        <v>39126.939026317625</v>
      </c>
      <c r="I22" s="499">
        <f t="shared" si="2"/>
        <v>10503.212066042573</v>
      </c>
      <c r="J22" s="499">
        <f t="shared" si="2"/>
        <v>0</v>
      </c>
      <c r="K22" s="499">
        <f t="shared" si="2"/>
        <v>28299.615718769914</v>
      </c>
      <c r="L22" s="499">
        <f t="shared" si="2"/>
        <v>0</v>
      </c>
      <c r="M22" s="499">
        <f t="shared" si="2"/>
        <v>0</v>
      </c>
      <c r="N22" s="499">
        <f t="shared" si="2"/>
        <v>0</v>
      </c>
      <c r="O22" s="499">
        <f t="shared" si="2"/>
        <v>5398.5884287839172</v>
      </c>
      <c r="P22" s="499">
        <f t="shared" si="2"/>
        <v>0</v>
      </c>
      <c r="Q22" s="499">
        <f t="shared" si="2"/>
        <v>0</v>
      </c>
      <c r="R22" s="499">
        <f t="shared" si="2"/>
        <v>166097.49450230959</v>
      </c>
    </row>
    <row r="23" spans="2:21" ht="14.25" customHeight="1">
      <c r="B23" s="481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</row>
    <row r="24" spans="2:21" ht="14.25" customHeight="1" thickBot="1">
      <c r="B24" s="481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</row>
    <row r="25" spans="2:21" ht="30.75" customHeight="1" thickTop="1" thickBot="1">
      <c r="B25" s="1190" t="s">
        <v>376</v>
      </c>
      <c r="C25" s="1193" t="s">
        <v>495</v>
      </c>
      <c r="D25" s="1194"/>
      <c r="E25" s="1194"/>
      <c r="F25" s="1194"/>
      <c r="G25" s="1194"/>
      <c r="H25" s="1194"/>
      <c r="I25" s="1194"/>
      <c r="J25" s="1194"/>
      <c r="K25" s="1194"/>
      <c r="L25" s="1194"/>
      <c r="M25" s="1194"/>
      <c r="N25" s="1194"/>
      <c r="O25" s="1194"/>
      <c r="P25" s="1194"/>
      <c r="Q25" s="1194"/>
      <c r="R25" s="1195"/>
    </row>
    <row r="26" spans="2:21" ht="20.25" customHeight="1" thickTop="1">
      <c r="B26" s="1191"/>
      <c r="C26" s="1196" t="s">
        <v>113</v>
      </c>
      <c r="D26" s="1198" t="s">
        <v>60</v>
      </c>
      <c r="E26" s="1200" t="s">
        <v>377</v>
      </c>
      <c r="F26" s="1201"/>
      <c r="G26" s="1201"/>
      <c r="H26" s="1201"/>
      <c r="I26" s="1201"/>
      <c r="J26" s="1201"/>
      <c r="K26" s="1201"/>
      <c r="L26" s="1202"/>
      <c r="M26" s="1200" t="s">
        <v>378</v>
      </c>
      <c r="N26" s="1201"/>
      <c r="O26" s="1201"/>
      <c r="P26" s="1201"/>
      <c r="Q26" s="1203"/>
      <c r="R26" s="1181" t="s">
        <v>379</v>
      </c>
    </row>
    <row r="27" spans="2:21" ht="30" customHeight="1" thickBot="1">
      <c r="B27" s="1192"/>
      <c r="C27" s="1197"/>
      <c r="D27" s="1199"/>
      <c r="E27" s="395" t="s">
        <v>458</v>
      </c>
      <c r="F27" s="395" t="s">
        <v>380</v>
      </c>
      <c r="G27" s="396" t="s">
        <v>59</v>
      </c>
      <c r="H27" s="395" t="s">
        <v>81</v>
      </c>
      <c r="I27" s="395" t="s">
        <v>19</v>
      </c>
      <c r="J27" s="395" t="s">
        <v>459</v>
      </c>
      <c r="K27" s="397" t="s">
        <v>460</v>
      </c>
      <c r="L27" s="397" t="s">
        <v>461</v>
      </c>
      <c r="M27" s="396" t="s">
        <v>462</v>
      </c>
      <c r="N27" s="398" t="s">
        <v>463</v>
      </c>
      <c r="O27" s="398" t="s">
        <v>464</v>
      </c>
      <c r="P27" s="398" t="s">
        <v>465</v>
      </c>
      <c r="Q27" s="399" t="s">
        <v>466</v>
      </c>
      <c r="R27" s="1182"/>
    </row>
    <row r="28" spans="2:21" ht="14.25" customHeight="1" thickTop="1">
      <c r="B28" s="502" t="s">
        <v>467</v>
      </c>
      <c r="C28" s="1183" t="s">
        <v>381</v>
      </c>
      <c r="D28" s="1183"/>
      <c r="E28" s="1183"/>
      <c r="F28" s="1183"/>
      <c r="G28" s="1183"/>
      <c r="H28" s="1183"/>
      <c r="I28" s="1183"/>
      <c r="J28" s="1183"/>
      <c r="K28" s="1183"/>
      <c r="L28" s="1183"/>
      <c r="M28" s="1183"/>
      <c r="N28" s="1183"/>
      <c r="O28" s="1183"/>
      <c r="P28" s="1183"/>
      <c r="Q28" s="1184"/>
      <c r="R28" s="400"/>
    </row>
    <row r="29" spans="2:21" ht="14.25" customHeight="1">
      <c r="B29" s="503" t="s">
        <v>468</v>
      </c>
      <c r="C29" s="479">
        <f>'En. elektryczna_2020'!D19</f>
        <v>292.51</v>
      </c>
      <c r="D29" s="480">
        <f>'Ciepło sieciowe_2020'!D13*0.277</f>
        <v>842.08</v>
      </c>
      <c r="E29" s="480">
        <f>Gaz_2020!F19</f>
        <v>8956.7805555555551</v>
      </c>
      <c r="F29" s="480">
        <v>0</v>
      </c>
      <c r="G29" s="480">
        <v>0</v>
      </c>
      <c r="H29" s="480">
        <v>0</v>
      </c>
      <c r="I29" s="480">
        <v>0</v>
      </c>
      <c r="J29" s="480">
        <f>J9</f>
        <v>0</v>
      </c>
      <c r="K29" s="480">
        <f>K9</f>
        <v>180.82560000000001</v>
      </c>
      <c r="L29" s="480">
        <v>0</v>
      </c>
      <c r="M29" s="480">
        <v>0</v>
      </c>
      <c r="N29" s="480">
        <v>0</v>
      </c>
      <c r="O29" s="480">
        <v>0</v>
      </c>
      <c r="P29" s="480">
        <v>0</v>
      </c>
      <c r="Q29" s="492">
        <v>0</v>
      </c>
      <c r="R29" s="493">
        <f>SUM(C29:Q29)</f>
        <v>10272.196155555555</v>
      </c>
      <c r="U29" s="261">
        <f>R21-R41</f>
        <v>626.71446338399255</v>
      </c>
    </row>
    <row r="30" spans="2:21" ht="14.25" customHeight="1">
      <c r="B30" s="504" t="s">
        <v>469</v>
      </c>
      <c r="C30" s="479">
        <f>'En. elektryczna_2020'!D17</f>
        <v>10232.191687657431</v>
      </c>
      <c r="D30" s="480">
        <f>'Ciepło sieciowe_2020'!D14*0.277</f>
        <v>122.98800000000001</v>
      </c>
      <c r="E30" s="480">
        <f>Gaz_2020!F17</f>
        <v>10594.977878279691</v>
      </c>
      <c r="F30" s="480">
        <v>0</v>
      </c>
      <c r="G30" s="480">
        <f>G10</f>
        <v>35.600040000000007</v>
      </c>
      <c r="H30" s="480">
        <v>0</v>
      </c>
      <c r="I30" s="480">
        <v>0</v>
      </c>
      <c r="J30" s="480">
        <f>J10</f>
        <v>0</v>
      </c>
      <c r="K30" s="480">
        <v>0</v>
      </c>
      <c r="L30" s="480">
        <v>0</v>
      </c>
      <c r="M30" s="480">
        <v>0</v>
      </c>
      <c r="N30" s="480">
        <v>0</v>
      </c>
      <c r="O30" s="480">
        <v>0</v>
      </c>
      <c r="P30" s="480">
        <v>0</v>
      </c>
      <c r="Q30" s="492">
        <v>0</v>
      </c>
      <c r="R30" s="485">
        <f>SUM(C30:Q30)</f>
        <v>20985.757605937124</v>
      </c>
    </row>
    <row r="31" spans="2:21" ht="14.25" customHeight="1">
      <c r="B31" s="503" t="s">
        <v>312</v>
      </c>
      <c r="C31" s="479">
        <f>'En. elektryczna_2020'!D17</f>
        <v>10232.191687657431</v>
      </c>
      <c r="D31" s="480">
        <f>'Ciepło sieciowe_2020'!D12*0.277</f>
        <v>8352.6580000000013</v>
      </c>
      <c r="E31" s="480">
        <f>Gaz_2020!F18</f>
        <v>25271.660838231175</v>
      </c>
      <c r="F31" s="480">
        <v>0</v>
      </c>
      <c r="G31" s="480">
        <f>'Ciepło_gosp. dom._2020'!H18</f>
        <v>1639.3183980776594</v>
      </c>
      <c r="H31" s="480">
        <v>0</v>
      </c>
      <c r="I31" s="480">
        <v>0</v>
      </c>
      <c r="J31" s="480">
        <f>J11</f>
        <v>0</v>
      </c>
      <c r="K31" s="480">
        <f>'Ciepło_gosp. dom._2020'!H16</f>
        <v>30197.426797615484</v>
      </c>
      <c r="L31" s="480">
        <v>0</v>
      </c>
      <c r="M31" s="480">
        <v>0</v>
      </c>
      <c r="N31" s="480">
        <v>0</v>
      </c>
      <c r="O31" s="480">
        <f>'Ciepło_gosp. dom._2020'!H19</f>
        <v>5797.6704616403304</v>
      </c>
      <c r="P31" s="480">
        <v>0</v>
      </c>
      <c r="Q31" s="492">
        <v>0</v>
      </c>
      <c r="R31" s="485">
        <f>SUM(C31:Q31)</f>
        <v>81490.92618322208</v>
      </c>
    </row>
    <row r="32" spans="2:21" ht="14.25" customHeight="1">
      <c r="B32" s="503" t="s">
        <v>389</v>
      </c>
      <c r="C32" s="479">
        <f>'En. elektryczna_2020'!D20</f>
        <v>1282</v>
      </c>
      <c r="D32" s="480">
        <v>0</v>
      </c>
      <c r="E32" s="480">
        <v>0</v>
      </c>
      <c r="F32" s="480">
        <v>0</v>
      </c>
      <c r="G32" s="480">
        <v>0</v>
      </c>
      <c r="H32" s="480">
        <v>0</v>
      </c>
      <c r="I32" s="480">
        <v>0</v>
      </c>
      <c r="J32" s="480">
        <f>J12</f>
        <v>0</v>
      </c>
      <c r="K32" s="480">
        <v>0</v>
      </c>
      <c r="L32" s="480">
        <v>0</v>
      </c>
      <c r="M32" s="480">
        <v>0</v>
      </c>
      <c r="N32" s="480">
        <v>0</v>
      </c>
      <c r="O32" s="480">
        <v>0</v>
      </c>
      <c r="P32" s="480">
        <v>0</v>
      </c>
      <c r="Q32" s="492">
        <v>0</v>
      </c>
      <c r="R32" s="485">
        <f>SUM(C32:Q32)</f>
        <v>1282</v>
      </c>
    </row>
    <row r="33" spans="2:18" ht="14.25" customHeight="1" thickBot="1">
      <c r="B33" s="505" t="s">
        <v>470</v>
      </c>
      <c r="C33" s="494">
        <f>'En. elektryczna_2020'!D16</f>
        <v>5093.06973131822</v>
      </c>
      <c r="D33" s="482">
        <v>0</v>
      </c>
      <c r="E33" s="483">
        <f>Gaz_2020!F16</f>
        <v>522.60291481574768</v>
      </c>
      <c r="F33" s="483">
        <v>0</v>
      </c>
      <c r="G33" s="483">
        <v>0</v>
      </c>
      <c r="H33" s="480">
        <v>0</v>
      </c>
      <c r="I33" s="480">
        <v>0</v>
      </c>
      <c r="J33" s="480">
        <f>J13</f>
        <v>0</v>
      </c>
      <c r="K33" s="494">
        <v>0</v>
      </c>
      <c r="L33" s="480">
        <v>0</v>
      </c>
      <c r="M33" s="480">
        <v>0</v>
      </c>
      <c r="N33" s="480">
        <v>0</v>
      </c>
      <c r="O33" s="480">
        <v>0</v>
      </c>
      <c r="P33" s="482">
        <v>0</v>
      </c>
      <c r="Q33" s="495">
        <v>0</v>
      </c>
      <c r="R33" s="496">
        <f>SUM(C33:Q33)</f>
        <v>5615.6726461339676</v>
      </c>
    </row>
    <row r="34" spans="2:18" ht="14.25" customHeight="1" thickBot="1">
      <c r="B34" s="506" t="s">
        <v>471</v>
      </c>
      <c r="C34" s="500">
        <f>SUM(C29:C33)</f>
        <v>27131.96310663308</v>
      </c>
      <c r="D34" s="484">
        <f>SUM(D29:D33)</f>
        <v>9317.7260000000006</v>
      </c>
      <c r="E34" s="484">
        <f t="shared" ref="E34:R34" si="3">SUM(E29:E33)</f>
        <v>45346.022186882168</v>
      </c>
      <c r="F34" s="484">
        <f t="shared" si="3"/>
        <v>0</v>
      </c>
      <c r="G34" s="484">
        <f t="shared" si="3"/>
        <v>1674.9184380776594</v>
      </c>
      <c r="H34" s="484">
        <f t="shared" si="3"/>
        <v>0</v>
      </c>
      <c r="I34" s="484">
        <f t="shared" si="3"/>
        <v>0</v>
      </c>
      <c r="J34" s="484">
        <f t="shared" si="3"/>
        <v>0</v>
      </c>
      <c r="K34" s="484">
        <f t="shared" si="3"/>
        <v>30378.252397615484</v>
      </c>
      <c r="L34" s="484">
        <f t="shared" si="3"/>
        <v>0</v>
      </c>
      <c r="M34" s="484">
        <f t="shared" si="3"/>
        <v>0</v>
      </c>
      <c r="N34" s="484">
        <f t="shared" si="3"/>
        <v>0</v>
      </c>
      <c r="O34" s="484">
        <f t="shared" si="3"/>
        <v>5797.6704616403304</v>
      </c>
      <c r="P34" s="484">
        <f t="shared" si="3"/>
        <v>0</v>
      </c>
      <c r="Q34" s="484">
        <f t="shared" si="3"/>
        <v>0</v>
      </c>
      <c r="R34" s="484">
        <f t="shared" si="3"/>
        <v>119646.55259084873</v>
      </c>
    </row>
    <row r="35" spans="2:18" ht="14.25" customHeight="1">
      <c r="B35" s="507" t="s">
        <v>384</v>
      </c>
      <c r="C35" s="1185"/>
      <c r="D35" s="1185"/>
      <c r="E35" s="1185"/>
      <c r="F35" s="1185"/>
      <c r="G35" s="1185"/>
      <c r="H35" s="1185"/>
      <c r="I35" s="1185"/>
      <c r="J35" s="1185"/>
      <c r="K35" s="1185"/>
      <c r="L35" s="1185"/>
      <c r="M35" s="1185"/>
      <c r="N35" s="1185"/>
      <c r="O35" s="1185"/>
      <c r="P35" s="1185"/>
      <c r="Q35" s="1186"/>
      <c r="R35" s="497"/>
    </row>
    <row r="36" spans="2:18" ht="14.25" customHeight="1">
      <c r="B36" s="503" t="s">
        <v>348</v>
      </c>
      <c r="C36" s="479">
        <v>0</v>
      </c>
      <c r="D36" s="479">
        <v>0</v>
      </c>
      <c r="E36" s="479">
        <v>0</v>
      </c>
      <c r="F36" s="480">
        <f>'Tabor gminny_2020'!E68</f>
        <v>0</v>
      </c>
      <c r="G36" s="480">
        <v>0</v>
      </c>
      <c r="H36" s="480">
        <f>'Tabor gminny_2020'!E48</f>
        <v>616.06264827189602</v>
      </c>
      <c r="I36" s="480">
        <f>'Tabor gminny_2020'!E47</f>
        <v>280.02800480255996</v>
      </c>
      <c r="J36" s="480">
        <v>0</v>
      </c>
      <c r="K36" s="480">
        <v>0</v>
      </c>
      <c r="L36" s="480">
        <v>0</v>
      </c>
      <c r="M36" s="480">
        <v>0</v>
      </c>
      <c r="N36" s="480">
        <v>0</v>
      </c>
      <c r="O36" s="480">
        <v>0</v>
      </c>
      <c r="P36" s="480">
        <v>0</v>
      </c>
      <c r="Q36" s="480">
        <v>0</v>
      </c>
      <c r="R36" s="479">
        <f>SUM(C36:Q36)</f>
        <v>896.09065307445599</v>
      </c>
    </row>
    <row r="37" spans="2:18" ht="14.25" customHeight="1">
      <c r="B37" s="503" t="str">
        <f>B17</f>
        <v>Transport komercyjny autobusy</v>
      </c>
      <c r="C37" s="479">
        <v>0</v>
      </c>
      <c r="D37" s="479">
        <v>0</v>
      </c>
      <c r="E37" s="479">
        <v>0</v>
      </c>
      <c r="F37" s="480">
        <v>0</v>
      </c>
      <c r="G37" s="480">
        <v>0</v>
      </c>
      <c r="H37" s="480">
        <f>'Transport kom. autobusy_2020'!F26</f>
        <v>109.44277534400003</v>
      </c>
      <c r="I37" s="480">
        <f>'Transport kom. autobusy_2020'!F25</f>
        <v>0</v>
      </c>
      <c r="J37" s="480">
        <v>0</v>
      </c>
      <c r="K37" s="480">
        <v>0</v>
      </c>
      <c r="L37" s="480">
        <v>0</v>
      </c>
      <c r="M37" s="480">
        <v>0</v>
      </c>
      <c r="N37" s="480">
        <v>0</v>
      </c>
      <c r="O37" s="480">
        <v>0</v>
      </c>
      <c r="P37" s="480">
        <v>0</v>
      </c>
      <c r="Q37" s="480">
        <v>0</v>
      </c>
      <c r="R37" s="479">
        <f>SUM(C37:Q37)</f>
        <v>109.44277534400003</v>
      </c>
    </row>
    <row r="38" spans="2:18" ht="14.25" customHeight="1">
      <c r="B38" s="503" t="s">
        <v>356</v>
      </c>
      <c r="C38" s="479">
        <v>0</v>
      </c>
      <c r="D38" s="479">
        <v>0</v>
      </c>
      <c r="E38" s="479">
        <v>0</v>
      </c>
      <c r="F38" s="480">
        <f>'Transport prywatny_2020'!F33</f>
        <v>397.12757940915168</v>
      </c>
      <c r="G38" s="480">
        <v>0</v>
      </c>
      <c r="H38" s="480">
        <f>'Transport prywatny_2020'!F32</f>
        <v>30884.576393242201</v>
      </c>
      <c r="I38" s="480">
        <f>'Transport prywatny_2020'!F31</f>
        <v>6967.3946813654602</v>
      </c>
      <c r="J38" s="480">
        <v>0</v>
      </c>
      <c r="K38" s="480">
        <v>0</v>
      </c>
      <c r="L38" s="480">
        <v>0</v>
      </c>
      <c r="M38" s="480">
        <v>0</v>
      </c>
      <c r="N38" s="480">
        <v>0</v>
      </c>
      <c r="O38" s="480">
        <v>0</v>
      </c>
      <c r="P38" s="480">
        <v>0</v>
      </c>
      <c r="Q38" s="480">
        <v>0</v>
      </c>
      <c r="R38" s="479">
        <f>SUM(C38:Q38)</f>
        <v>38249.098654016816</v>
      </c>
    </row>
    <row r="39" spans="2:18" ht="14.25" customHeight="1">
      <c r="B39" s="503" t="str">
        <f>B19</f>
        <v>Transport publiczny</v>
      </c>
      <c r="C39" s="479">
        <v>0</v>
      </c>
      <c r="D39" s="479">
        <v>0</v>
      </c>
      <c r="E39" s="479">
        <v>0</v>
      </c>
      <c r="F39" s="480">
        <v>0</v>
      </c>
      <c r="G39" s="480">
        <v>0</v>
      </c>
      <c r="H39" s="480">
        <v>0</v>
      </c>
      <c r="I39" s="480">
        <v>0</v>
      </c>
      <c r="J39" s="480">
        <v>0</v>
      </c>
      <c r="K39" s="480">
        <v>0</v>
      </c>
      <c r="L39" s="480">
        <v>0</v>
      </c>
      <c r="M39" s="480">
        <v>0</v>
      </c>
      <c r="N39" s="480">
        <v>0</v>
      </c>
      <c r="O39" s="480">
        <v>0</v>
      </c>
      <c r="P39" s="480">
        <v>0</v>
      </c>
      <c r="Q39" s="480">
        <v>0</v>
      </c>
      <c r="R39" s="479">
        <v>0</v>
      </c>
    </row>
    <row r="40" spans="2:18" ht="14.25" customHeight="1">
      <c r="B40" s="503" t="s">
        <v>357</v>
      </c>
      <c r="C40" s="479">
        <v>0</v>
      </c>
      <c r="D40" s="479">
        <v>0</v>
      </c>
      <c r="E40" s="479">
        <v>0</v>
      </c>
      <c r="F40" s="480">
        <f>'Transport komercyjny_2020'!F33</f>
        <v>0</v>
      </c>
      <c r="G40" s="480">
        <v>0</v>
      </c>
      <c r="H40" s="480">
        <f>'Transport komercyjny_2020'!F32</f>
        <v>7051.9354304836133</v>
      </c>
      <c r="I40" s="480">
        <f>'Transport komercyjny_2020'!F31</f>
        <v>3137.019863317912</v>
      </c>
      <c r="J40" s="480">
        <v>0</v>
      </c>
      <c r="K40" s="480">
        <v>0</v>
      </c>
      <c r="L40" s="480">
        <v>0</v>
      </c>
      <c r="M40" s="480">
        <v>0</v>
      </c>
      <c r="N40" s="480">
        <v>0</v>
      </c>
      <c r="O40" s="480">
        <v>0</v>
      </c>
      <c r="P40" s="480">
        <v>0</v>
      </c>
      <c r="Q40" s="480">
        <v>0</v>
      </c>
      <c r="R40" s="479">
        <f>SUM(C40:Q40)</f>
        <v>10188.955293801526</v>
      </c>
    </row>
    <row r="41" spans="2:18" ht="14.25" customHeight="1" thickBot="1">
      <c r="B41" s="508" t="s">
        <v>472</v>
      </c>
      <c r="C41" s="486">
        <f t="shared" ref="C41:R41" si="4">SUM(C36:C40)</f>
        <v>0</v>
      </c>
      <c r="D41" s="498">
        <f t="shared" si="4"/>
        <v>0</v>
      </c>
      <c r="E41" s="498">
        <f t="shared" si="4"/>
        <v>0</v>
      </c>
      <c r="F41" s="498">
        <f t="shared" si="4"/>
        <v>397.12757940915168</v>
      </c>
      <c r="G41" s="498">
        <f t="shared" si="4"/>
        <v>0</v>
      </c>
      <c r="H41" s="498">
        <f t="shared" si="4"/>
        <v>38662.017247341711</v>
      </c>
      <c r="I41" s="498">
        <f t="shared" si="4"/>
        <v>10384.442549485932</v>
      </c>
      <c r="J41" s="498">
        <f t="shared" si="4"/>
        <v>0</v>
      </c>
      <c r="K41" s="498">
        <f>SUM(K36:K40)</f>
        <v>0</v>
      </c>
      <c r="L41" s="498">
        <f t="shared" si="4"/>
        <v>0</v>
      </c>
      <c r="M41" s="498">
        <f t="shared" si="4"/>
        <v>0</v>
      </c>
      <c r="N41" s="498">
        <f t="shared" si="4"/>
        <v>0</v>
      </c>
      <c r="O41" s="498">
        <f t="shared" si="4"/>
        <v>0</v>
      </c>
      <c r="P41" s="498">
        <f t="shared" si="4"/>
        <v>0</v>
      </c>
      <c r="Q41" s="498">
        <f t="shared" si="4"/>
        <v>0</v>
      </c>
      <c r="R41" s="498">
        <f t="shared" si="4"/>
        <v>49443.587376236799</v>
      </c>
    </row>
    <row r="42" spans="2:18" ht="14.25" customHeight="1" thickTop="1" thickBot="1">
      <c r="B42" s="509" t="s">
        <v>379</v>
      </c>
      <c r="C42" s="501">
        <f>C41+C34</f>
        <v>27131.96310663308</v>
      </c>
      <c r="D42" s="499">
        <f t="shared" ref="D42:R42" si="5">D41+D34</f>
        <v>9317.7260000000006</v>
      </c>
      <c r="E42" s="499">
        <f t="shared" si="5"/>
        <v>45346.022186882168</v>
      </c>
      <c r="F42" s="499">
        <f t="shared" si="5"/>
        <v>397.12757940915168</v>
      </c>
      <c r="G42" s="499">
        <f t="shared" si="5"/>
        <v>1674.9184380776594</v>
      </c>
      <c r="H42" s="499">
        <f t="shared" si="5"/>
        <v>38662.017247341711</v>
      </c>
      <c r="I42" s="499">
        <f t="shared" si="5"/>
        <v>10384.442549485932</v>
      </c>
      <c r="J42" s="499">
        <f t="shared" si="5"/>
        <v>0</v>
      </c>
      <c r="K42" s="499">
        <f t="shared" si="5"/>
        <v>30378.252397615484</v>
      </c>
      <c r="L42" s="499">
        <f t="shared" si="5"/>
        <v>0</v>
      </c>
      <c r="M42" s="499">
        <f t="shared" si="5"/>
        <v>0</v>
      </c>
      <c r="N42" s="499">
        <f t="shared" si="5"/>
        <v>0</v>
      </c>
      <c r="O42" s="499">
        <f t="shared" si="5"/>
        <v>5797.6704616403304</v>
      </c>
      <c r="P42" s="499">
        <f t="shared" si="5"/>
        <v>0</v>
      </c>
      <c r="Q42" s="499">
        <f t="shared" si="5"/>
        <v>0</v>
      </c>
      <c r="R42" s="499">
        <f t="shared" si="5"/>
        <v>169090.13996708553</v>
      </c>
    </row>
    <row r="43" spans="2:18" ht="14.25" customHeight="1">
      <c r="B43" s="481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</row>
    <row r="44" spans="2:18" ht="14.25" customHeight="1">
      <c r="B44" s="481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633">
        <f>O22-O42</f>
        <v>-399.08203285641321</v>
      </c>
      <c r="P44" s="402"/>
      <c r="Q44" s="402"/>
      <c r="R44" s="402"/>
    </row>
    <row r="45" spans="2:18" ht="14.25" customHeight="1" thickBot="1">
      <c r="B45" s="481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633"/>
      <c r="Q45" s="402"/>
      <c r="R45" s="402"/>
    </row>
    <row r="46" spans="2:18" ht="14.25" customHeight="1" thickBot="1">
      <c r="B46" s="481"/>
      <c r="C46" s="1080" t="s">
        <v>211</v>
      </c>
      <c r="D46" s="1081"/>
      <c r="E46" s="108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</row>
    <row r="47" spans="2:18" ht="14.25" customHeight="1" thickBot="1">
      <c r="B47" s="481"/>
      <c r="C47" s="587" t="s">
        <v>212</v>
      </c>
      <c r="D47" s="590">
        <v>3.6</v>
      </c>
      <c r="E47" s="588" t="s">
        <v>207</v>
      </c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</row>
    <row r="48" spans="2:18" ht="14.25" customHeight="1" thickBot="1">
      <c r="B48" s="481"/>
      <c r="C48" s="549" t="s">
        <v>213</v>
      </c>
      <c r="D48" s="591">
        <v>0.27700000000000002</v>
      </c>
      <c r="E48" s="589" t="s">
        <v>214</v>
      </c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</row>
    <row r="49" spans="2:18" ht="14.25" customHeight="1">
      <c r="B49" s="481"/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</row>
    <row r="50" spans="2:18" ht="14.25" customHeight="1">
      <c r="B50" s="481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</row>
    <row r="51" spans="2:18" ht="14.25" customHeight="1">
      <c r="B51" s="481"/>
      <c r="C51" s="402"/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</row>
    <row r="52" spans="2:18" ht="14.25" customHeight="1">
      <c r="B52" s="481"/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</row>
    <row r="53" spans="2:18" ht="14.25" customHeight="1">
      <c r="B53" s="481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</row>
    <row r="54" spans="2:18" ht="14.25" customHeight="1">
      <c r="B54" s="481"/>
      <c r="C54" s="402"/>
      <c r="D54" s="402"/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</row>
    <row r="55" spans="2:18" ht="14.25" customHeight="1">
      <c r="B55" s="481"/>
      <c r="C55" s="402"/>
      <c r="D55" s="402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</row>
    <row r="56" spans="2:18" ht="15" customHeight="1">
      <c r="B56" s="403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</row>
    <row r="57" spans="2:18" ht="15.75" customHeight="1"/>
    <row r="61" spans="2:18" ht="17.25" customHeight="1"/>
    <row r="62" spans="2:18" ht="15.75" customHeight="1"/>
    <row r="63" spans="2:18" ht="15.75" customHeight="1"/>
    <row r="89" ht="17.25" customHeight="1"/>
    <row r="90" ht="15.75" customHeight="1"/>
    <row r="103" ht="17.25" customHeight="1"/>
    <row r="104" ht="15.75" customHeight="1"/>
  </sheetData>
  <mergeCells count="21">
    <mergeCell ref="C26:C27"/>
    <mergeCell ref="D26:D27"/>
    <mergeCell ref="E26:L26"/>
    <mergeCell ref="M26:Q26"/>
    <mergeCell ref="R26:R27"/>
    <mergeCell ref="C46:E46"/>
    <mergeCell ref="R6:R7"/>
    <mergeCell ref="C8:Q8"/>
    <mergeCell ref="C15:Q15"/>
    <mergeCell ref="B2:C2"/>
    <mergeCell ref="B3:R3"/>
    <mergeCell ref="B5:B7"/>
    <mergeCell ref="C5:R5"/>
    <mergeCell ref="C6:C7"/>
    <mergeCell ref="D6:D7"/>
    <mergeCell ref="E6:L6"/>
    <mergeCell ref="M6:Q6"/>
    <mergeCell ref="C28:Q28"/>
    <mergeCell ref="C35:Q35"/>
    <mergeCell ref="B25:B27"/>
    <mergeCell ref="C25:R25"/>
  </mergeCells>
  <pageMargins left="0.7" right="0.7" top="0.75" bottom="0.75" header="0.3" footer="0.3"/>
  <ignoredErrors>
    <ignoredError sqref="R29:R34 G30:G31 J31:K31 O31 J32:J34 E33:E34 F34:I34 K34:Q34 F36 R40:R42 F40:F42 H40:I40 C41:E42 G41:Q42 D9 K9 R9:R14 G10:G11 K11 O11 E13:E14 F14:Q14 F16 R20:R22 F20:F22 H20:I20 C21:E22 G21:Q22 D29 J29:K29 D30:E31 J30 E10:E11 C14:D14 C34:D34 H16:I18 F18 R16:R18 H36:I38 F38 R36:R38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T70"/>
  <sheetViews>
    <sheetView showGridLines="0" topLeftCell="C1" zoomScale="60" zoomScaleNormal="60" workbookViewId="0">
      <selection activeCell="J54" sqref="J54"/>
    </sheetView>
  </sheetViews>
  <sheetFormatPr defaultRowHeight="14.25"/>
  <cols>
    <col min="1" max="1" width="2.75" customWidth="1"/>
    <col min="2" max="2" width="57.25" customWidth="1"/>
    <col min="3" max="3" width="14.375" customWidth="1"/>
    <col min="4" max="4" width="13.625" customWidth="1"/>
    <col min="5" max="5" width="14.375" customWidth="1"/>
    <col min="6" max="6" width="13.75" customWidth="1"/>
    <col min="7" max="7" width="13.875" customWidth="1"/>
    <col min="8" max="8" width="14" customWidth="1"/>
    <col min="9" max="9" width="13.875" customWidth="1"/>
    <col min="10" max="11" width="11.5" customWidth="1"/>
    <col min="12" max="12" width="14.375" customWidth="1"/>
    <col min="13" max="13" width="13.125" bestFit="1" customWidth="1"/>
    <col min="15" max="15" width="16.625" customWidth="1"/>
    <col min="16" max="16" width="15" customWidth="1"/>
    <col min="17" max="17" width="14.625" customWidth="1"/>
    <col min="18" max="18" width="15.75" customWidth="1"/>
  </cols>
  <sheetData>
    <row r="1" spans="2:18" ht="15"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2:18"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</row>
    <row r="3" spans="2:18" ht="15.75">
      <c r="B3" s="405" t="s">
        <v>473</v>
      </c>
      <c r="C3" s="404"/>
      <c r="D3" s="404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</row>
    <row r="4" spans="2:18" ht="15.75" thickBot="1"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</row>
    <row r="5" spans="2:18" ht="17.25" thickTop="1" thickBot="1">
      <c r="B5" s="1204" t="s">
        <v>376</v>
      </c>
      <c r="C5" s="1207" t="s">
        <v>496</v>
      </c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208"/>
    </row>
    <row r="6" spans="2:18" ht="18" customHeight="1" thickTop="1">
      <c r="B6" s="1205"/>
      <c r="C6" s="1209" t="s">
        <v>113</v>
      </c>
      <c r="D6" s="1211" t="s">
        <v>60</v>
      </c>
      <c r="E6" s="1213" t="s">
        <v>377</v>
      </c>
      <c r="F6" s="1214"/>
      <c r="G6" s="1214"/>
      <c r="H6" s="1214"/>
      <c r="I6" s="1214"/>
      <c r="J6" s="1214"/>
      <c r="K6" s="1214"/>
      <c r="L6" s="1215"/>
      <c r="M6" s="1213" t="s">
        <v>378</v>
      </c>
      <c r="N6" s="1214"/>
      <c r="O6" s="1214"/>
      <c r="P6" s="1214"/>
      <c r="Q6" s="1216"/>
      <c r="R6" s="1217" t="s">
        <v>379</v>
      </c>
    </row>
    <row r="7" spans="2:18" ht="38.25" customHeight="1" thickBot="1">
      <c r="B7" s="1206"/>
      <c r="C7" s="1210"/>
      <c r="D7" s="1212"/>
      <c r="E7" s="398" t="s">
        <v>458</v>
      </c>
      <c r="F7" s="398" t="s">
        <v>380</v>
      </c>
      <c r="G7" s="398" t="s">
        <v>59</v>
      </c>
      <c r="H7" s="398" t="s">
        <v>81</v>
      </c>
      <c r="I7" s="398" t="s">
        <v>19</v>
      </c>
      <c r="J7" s="398" t="s">
        <v>459</v>
      </c>
      <c r="K7" s="406" t="s">
        <v>460</v>
      </c>
      <c r="L7" s="406" t="s">
        <v>461</v>
      </c>
      <c r="M7" s="398" t="s">
        <v>463</v>
      </c>
      <c r="N7" s="398" t="s">
        <v>462</v>
      </c>
      <c r="O7" s="398" t="s">
        <v>464</v>
      </c>
      <c r="P7" s="398" t="s">
        <v>465</v>
      </c>
      <c r="Q7" s="399" t="s">
        <v>466</v>
      </c>
      <c r="R7" s="1218"/>
    </row>
    <row r="8" spans="2:18" ht="14.25" customHeight="1" thickTop="1">
      <c r="B8" s="407" t="s">
        <v>467</v>
      </c>
      <c r="C8" s="408" t="s">
        <v>381</v>
      </c>
      <c r="D8" s="409"/>
      <c r="E8" s="410"/>
      <c r="F8" s="410"/>
      <c r="G8" s="410"/>
      <c r="H8" s="410"/>
      <c r="I8" s="410"/>
      <c r="J8" s="410"/>
      <c r="K8" s="410"/>
      <c r="L8" s="410"/>
      <c r="M8" s="411"/>
      <c r="N8" s="411"/>
      <c r="O8" s="410"/>
      <c r="P8" s="411"/>
      <c r="Q8" s="412"/>
      <c r="R8" s="413"/>
    </row>
    <row r="9" spans="2:18" ht="14.25" customHeight="1">
      <c r="B9" s="401" t="s">
        <v>468</v>
      </c>
      <c r="C9" s="479">
        <f>'Budynki komunalne_2014'!N6</f>
        <v>243.65511999999998</v>
      </c>
      <c r="D9" s="480">
        <f>'Ciepło sieciowe_2020'!G7</f>
        <v>273.59999999999997</v>
      </c>
      <c r="E9" s="480">
        <f>Gaz_2020!H10</f>
        <v>1799.8829662000001</v>
      </c>
      <c r="F9" s="480">
        <v>0</v>
      </c>
      <c r="G9" s="480">
        <v>0</v>
      </c>
      <c r="H9" s="480">
        <v>0</v>
      </c>
      <c r="I9" s="480">
        <v>0</v>
      </c>
      <c r="J9" s="480">
        <v>0</v>
      </c>
      <c r="K9" s="480">
        <f>'Budynki komunalne_2014'!J8</f>
        <v>61.839743999999989</v>
      </c>
      <c r="L9" s="480">
        <v>0</v>
      </c>
      <c r="M9" s="480">
        <v>0</v>
      </c>
      <c r="N9" s="480">
        <v>0</v>
      </c>
      <c r="O9" s="480">
        <v>0</v>
      </c>
      <c r="P9" s="480">
        <v>0</v>
      </c>
      <c r="Q9" s="480">
        <v>0</v>
      </c>
      <c r="R9" s="485">
        <f>SUM(C9:Q9)</f>
        <v>2378.9778302</v>
      </c>
    </row>
    <row r="10" spans="2:18" ht="14.25" customHeight="1">
      <c r="B10" s="414" t="s">
        <v>469</v>
      </c>
      <c r="C10" s="479">
        <f>'En. elektryczna_2020'!F8</f>
        <v>8407.3667999999998</v>
      </c>
      <c r="D10" s="480">
        <f>'Ciepło sieciowe_2020'!G8</f>
        <v>31.5</v>
      </c>
      <c r="E10" s="480">
        <f>Gaz_2020!H8</f>
        <v>2154.4066742259201</v>
      </c>
      <c r="F10" s="480">
        <v>0</v>
      </c>
      <c r="G10" s="480">
        <f>'Budynki niekomunalne_2024'!L12</f>
        <v>9.8433468000000008</v>
      </c>
      <c r="H10" s="480">
        <v>0</v>
      </c>
      <c r="I10" s="480">
        <v>0</v>
      </c>
      <c r="J10" s="480">
        <v>0</v>
      </c>
      <c r="K10" s="480">
        <v>0</v>
      </c>
      <c r="L10" s="480">
        <v>0</v>
      </c>
      <c r="M10" s="480">
        <v>0</v>
      </c>
      <c r="N10" s="480">
        <v>0</v>
      </c>
      <c r="O10" s="480">
        <v>0</v>
      </c>
      <c r="P10" s="480">
        <v>0</v>
      </c>
      <c r="Q10" s="480">
        <v>0</v>
      </c>
      <c r="R10" s="485">
        <f>SUM(C10:Q10)</f>
        <v>10603.11682102592</v>
      </c>
    </row>
    <row r="11" spans="2:18" ht="14.25" customHeight="1">
      <c r="B11" s="401" t="s">
        <v>312</v>
      </c>
      <c r="C11" s="479">
        <f>'En. elektryczna_2020'!F9</f>
        <v>7461.5329600000005</v>
      </c>
      <c r="D11" s="480">
        <f>'Ciepło sieciowe_2020'!G6</f>
        <v>2527.11</v>
      </c>
      <c r="E11" s="480">
        <f>Gaz_2020!H9</f>
        <v>5138.7964566000001</v>
      </c>
      <c r="F11" s="480">
        <v>0</v>
      </c>
      <c r="G11" s="480">
        <f>'Ciepło_gosp. dom._2020'!J9</f>
        <v>422.06788339669703</v>
      </c>
      <c r="H11" s="480">
        <v>0</v>
      </c>
      <c r="I11" s="480">
        <v>0</v>
      </c>
      <c r="J11" s="480">
        <v>0</v>
      </c>
      <c r="K11" s="480">
        <f>'Ciepło_gosp. dom._2020'!J7</f>
        <v>9616.2201731085679</v>
      </c>
      <c r="L11" s="480">
        <v>0</v>
      </c>
      <c r="M11" s="480">
        <v>0</v>
      </c>
      <c r="N11" s="480">
        <v>0</v>
      </c>
      <c r="O11" s="480">
        <v>0</v>
      </c>
      <c r="P11" s="480">
        <v>0</v>
      </c>
      <c r="Q11" s="480">
        <v>0</v>
      </c>
      <c r="R11" s="485">
        <f>SUM(C11:Q11)</f>
        <v>25165.727473105268</v>
      </c>
    </row>
    <row r="12" spans="2:18" ht="30" customHeight="1">
      <c r="B12" s="401" t="s">
        <v>389</v>
      </c>
      <c r="C12" s="479">
        <f>'Oświetlenie komunalne_2020'!E7</f>
        <v>1040.9840000000002</v>
      </c>
      <c r="D12" s="480">
        <v>0</v>
      </c>
      <c r="E12" s="480">
        <v>0</v>
      </c>
      <c r="F12" s="480">
        <v>0</v>
      </c>
      <c r="G12" s="480">
        <v>0</v>
      </c>
      <c r="H12" s="480">
        <v>0</v>
      </c>
      <c r="I12" s="480">
        <v>0</v>
      </c>
      <c r="J12" s="480">
        <v>0</v>
      </c>
      <c r="K12" s="480">
        <v>0</v>
      </c>
      <c r="L12" s="480">
        <v>0</v>
      </c>
      <c r="M12" s="480">
        <v>0</v>
      </c>
      <c r="N12" s="480">
        <v>0</v>
      </c>
      <c r="O12" s="480">
        <v>0</v>
      </c>
      <c r="P12" s="480">
        <v>0</v>
      </c>
      <c r="Q12" s="480">
        <v>0</v>
      </c>
      <c r="R12" s="485">
        <f>SUM(C12:Q12)</f>
        <v>1040.9840000000002</v>
      </c>
    </row>
    <row r="13" spans="2:18" ht="14.25" customHeight="1">
      <c r="B13" s="415" t="s">
        <v>470</v>
      </c>
      <c r="C13" s="479">
        <f>'En. elektryczna_2020'!F7</f>
        <v>4184.7637999999997</v>
      </c>
      <c r="D13" s="480">
        <f>'Ciepło sieciowe_2020'!G5</f>
        <v>0</v>
      </c>
      <c r="E13" s="480">
        <f>Gaz_2020!H7</f>
        <v>106.26725422023999</v>
      </c>
      <c r="F13" s="480">
        <v>0</v>
      </c>
      <c r="G13" s="480">
        <v>0</v>
      </c>
      <c r="H13" s="480">
        <v>0</v>
      </c>
      <c r="I13" s="480">
        <v>0</v>
      </c>
      <c r="J13" s="480">
        <v>0</v>
      </c>
      <c r="K13" s="480">
        <v>0</v>
      </c>
      <c r="L13" s="480">
        <v>0</v>
      </c>
      <c r="M13" s="480">
        <v>0</v>
      </c>
      <c r="N13" s="480">
        <v>0</v>
      </c>
      <c r="O13" s="480">
        <v>0</v>
      </c>
      <c r="P13" s="480">
        <v>0</v>
      </c>
      <c r="Q13" s="480">
        <v>0</v>
      </c>
      <c r="R13" s="485">
        <f>SUM(C13:Q13)</f>
        <v>4291.0310542202396</v>
      </c>
    </row>
    <row r="14" spans="2:18" ht="30.75" customHeight="1" thickBot="1">
      <c r="B14" s="510" t="s">
        <v>471</v>
      </c>
      <c r="C14" s="486">
        <f>SUM(C9:C13)</f>
        <v>21338.302680000001</v>
      </c>
      <c r="D14" s="486">
        <f t="shared" ref="D14:R14" si="0">SUM(D9:D13)</f>
        <v>2832.21</v>
      </c>
      <c r="E14" s="486">
        <f>SUM(E9:E13)</f>
        <v>9199.3533512461599</v>
      </c>
      <c r="F14" s="486">
        <f t="shared" si="0"/>
        <v>0</v>
      </c>
      <c r="G14" s="486">
        <f t="shared" si="0"/>
        <v>431.91123019669703</v>
      </c>
      <c r="H14" s="486">
        <f t="shared" si="0"/>
        <v>0</v>
      </c>
      <c r="I14" s="486">
        <f t="shared" si="0"/>
        <v>0</v>
      </c>
      <c r="J14" s="486">
        <f t="shared" si="0"/>
        <v>0</v>
      </c>
      <c r="K14" s="486">
        <f t="shared" si="0"/>
        <v>9678.0599171085687</v>
      </c>
      <c r="L14" s="486">
        <f t="shared" si="0"/>
        <v>0</v>
      </c>
      <c r="M14" s="486">
        <f t="shared" si="0"/>
        <v>0</v>
      </c>
      <c r="N14" s="486">
        <f t="shared" si="0"/>
        <v>0</v>
      </c>
      <c r="O14" s="486">
        <f t="shared" si="0"/>
        <v>0</v>
      </c>
      <c r="P14" s="486">
        <f t="shared" si="0"/>
        <v>0</v>
      </c>
      <c r="Q14" s="511">
        <f t="shared" si="0"/>
        <v>0</v>
      </c>
      <c r="R14" s="487">
        <f t="shared" si="0"/>
        <v>43479.837178551425</v>
      </c>
    </row>
    <row r="15" spans="2:18" ht="14.25" customHeight="1">
      <c r="B15" s="407" t="s">
        <v>384</v>
      </c>
      <c r="C15" s="512"/>
      <c r="D15" s="513"/>
      <c r="E15" s="513"/>
      <c r="F15" s="513"/>
      <c r="G15" s="513"/>
      <c r="H15" s="513"/>
      <c r="I15" s="513"/>
      <c r="J15" s="513"/>
      <c r="K15" s="513"/>
      <c r="L15" s="513"/>
      <c r="M15" s="514"/>
      <c r="N15" s="514"/>
      <c r="O15" s="513"/>
      <c r="P15" s="514"/>
      <c r="Q15" s="515"/>
      <c r="R15" s="516"/>
    </row>
    <row r="16" spans="2:18" ht="14.25" customHeight="1">
      <c r="B16" s="401" t="s">
        <v>348</v>
      </c>
      <c r="C16" s="479">
        <v>0</v>
      </c>
      <c r="D16" s="479">
        <v>0</v>
      </c>
      <c r="E16" s="479">
        <v>0</v>
      </c>
      <c r="F16" s="480">
        <f>'Tabor gminny_2020'!F24</f>
        <v>8.6332824507686396</v>
      </c>
      <c r="G16" s="480">
        <v>0</v>
      </c>
      <c r="H16" s="480">
        <f>'Tabor gminny_2020'!F24</f>
        <v>8.6332824507686396</v>
      </c>
      <c r="I16" s="480">
        <f>'Tabor gminny_2020'!F22</f>
        <v>69.360005088460795</v>
      </c>
      <c r="J16" s="480">
        <v>0</v>
      </c>
      <c r="K16" s="480">
        <v>0</v>
      </c>
      <c r="L16" s="480">
        <v>0</v>
      </c>
      <c r="M16" s="480">
        <v>0</v>
      </c>
      <c r="N16" s="480">
        <v>0</v>
      </c>
      <c r="O16" s="480">
        <v>0</v>
      </c>
      <c r="P16" s="480">
        <v>0</v>
      </c>
      <c r="Q16" s="480">
        <v>0</v>
      </c>
      <c r="R16" s="485">
        <f>SUM(C16:Q16)</f>
        <v>86.626569989998075</v>
      </c>
    </row>
    <row r="17" spans="1:18" ht="14.25" customHeight="1">
      <c r="B17" s="401" t="s">
        <v>512</v>
      </c>
      <c r="C17" s="479">
        <v>0</v>
      </c>
      <c r="D17" s="479">
        <v>0</v>
      </c>
      <c r="E17" s="479">
        <v>0</v>
      </c>
      <c r="F17" s="480">
        <f>'Transport kom. autobusy_2020'!G15</f>
        <v>0</v>
      </c>
      <c r="G17" s="480">
        <v>0</v>
      </c>
      <c r="H17" s="480">
        <f>'Transport kom. autobusy_2020'!G14</f>
        <v>32.594290813980002</v>
      </c>
      <c r="I17" s="480">
        <f>'Transport kom. autobusy_2020'!G13</f>
        <v>0</v>
      </c>
      <c r="J17" s="480">
        <v>0</v>
      </c>
      <c r="K17" s="480">
        <v>0</v>
      </c>
      <c r="L17" s="480">
        <v>0</v>
      </c>
      <c r="M17" s="480">
        <v>0</v>
      </c>
      <c r="N17" s="480">
        <v>0</v>
      </c>
      <c r="O17" s="480">
        <v>0</v>
      </c>
      <c r="P17" s="480">
        <v>0</v>
      </c>
      <c r="Q17" s="480">
        <v>0</v>
      </c>
      <c r="R17" s="485">
        <f>SUM(C17:Q17)</f>
        <v>32.594290813980002</v>
      </c>
    </row>
    <row r="18" spans="1:18" ht="14.25" customHeight="1">
      <c r="B18" s="401" t="s">
        <v>356</v>
      </c>
      <c r="C18" s="479">
        <v>0</v>
      </c>
      <c r="D18" s="479">
        <v>0</v>
      </c>
      <c r="E18" s="479">
        <v>0</v>
      </c>
      <c r="F18" s="480">
        <f>'Transport prywatny_2020'!G18</f>
        <v>90.583369747611854</v>
      </c>
      <c r="G18" s="480">
        <v>0</v>
      </c>
      <c r="H18" s="480">
        <f>'Transport prywatny_2020'!G17</f>
        <v>8273.3017321081643</v>
      </c>
      <c r="I18" s="480">
        <f>'Transport prywatny_2020'!G16</f>
        <v>1745.9264605129115</v>
      </c>
      <c r="J18" s="480">
        <v>0</v>
      </c>
      <c r="K18" s="480">
        <v>0</v>
      </c>
      <c r="L18" s="480">
        <v>0</v>
      </c>
      <c r="M18" s="480">
        <v>0</v>
      </c>
      <c r="N18" s="480">
        <v>0</v>
      </c>
      <c r="O18" s="480">
        <v>0</v>
      </c>
      <c r="P18" s="480">
        <v>0</v>
      </c>
      <c r="Q18" s="480">
        <v>0</v>
      </c>
      <c r="R18" s="485">
        <f>SUM(C18:Q18)</f>
        <v>10109.811562368688</v>
      </c>
    </row>
    <row r="19" spans="1:18" ht="14.25" customHeight="1">
      <c r="A19" t="s">
        <v>590</v>
      </c>
      <c r="B19" s="630"/>
      <c r="C19" s="479">
        <v>0</v>
      </c>
      <c r="D19" s="479">
        <v>0</v>
      </c>
      <c r="E19" s="479">
        <v>0</v>
      </c>
      <c r="F19" s="480">
        <v>0</v>
      </c>
      <c r="G19" s="480">
        <v>0</v>
      </c>
      <c r="H19" s="480">
        <v>0</v>
      </c>
      <c r="I19" s="480">
        <v>0</v>
      </c>
      <c r="J19" s="480">
        <v>0</v>
      </c>
      <c r="K19" s="480">
        <v>0</v>
      </c>
      <c r="L19" s="480">
        <v>0</v>
      </c>
      <c r="M19" s="480">
        <v>0</v>
      </c>
      <c r="N19" s="480">
        <v>0</v>
      </c>
      <c r="O19" s="480">
        <v>0</v>
      </c>
      <c r="P19" s="480">
        <v>0</v>
      </c>
      <c r="Q19" s="480">
        <v>0</v>
      </c>
      <c r="R19" s="485">
        <v>0</v>
      </c>
    </row>
    <row r="20" spans="1:18" ht="14.25" customHeight="1">
      <c r="B20" s="401" t="s">
        <v>497</v>
      </c>
      <c r="C20" s="479">
        <v>0</v>
      </c>
      <c r="D20" s="479">
        <v>0</v>
      </c>
      <c r="E20" s="479">
        <v>0</v>
      </c>
      <c r="F20" s="480">
        <f>'Transport komercyjny_2020'!G18</f>
        <v>0</v>
      </c>
      <c r="G20" s="480">
        <v>0</v>
      </c>
      <c r="H20" s="480">
        <f>'Transport komercyjny_2020'!G17</f>
        <v>1889.0590846666394</v>
      </c>
      <c r="I20" s="480">
        <f>'Transport komercyjny_2020'!G16</f>
        <v>786.24920173141084</v>
      </c>
      <c r="J20" s="480">
        <v>0</v>
      </c>
      <c r="K20" s="480">
        <v>0</v>
      </c>
      <c r="L20" s="480">
        <v>0</v>
      </c>
      <c r="M20" s="480">
        <v>0</v>
      </c>
      <c r="N20" s="480">
        <v>0</v>
      </c>
      <c r="O20" s="480">
        <v>0</v>
      </c>
      <c r="P20" s="480">
        <v>0</v>
      </c>
      <c r="Q20" s="480">
        <v>0</v>
      </c>
      <c r="R20" s="485">
        <f>SUM(C20:Q20)</f>
        <v>2675.3082863980503</v>
      </c>
    </row>
    <row r="21" spans="1:18" ht="14.25" customHeight="1" thickBot="1">
      <c r="B21" s="421" t="s">
        <v>472</v>
      </c>
      <c r="C21" s="486">
        <f t="shared" ref="C21:R21" si="1">SUM(C16:C20)</f>
        <v>0</v>
      </c>
      <c r="D21" s="486">
        <f t="shared" si="1"/>
        <v>0</v>
      </c>
      <c r="E21" s="486">
        <f t="shared" si="1"/>
        <v>0</v>
      </c>
      <c r="F21" s="486">
        <f t="shared" si="1"/>
        <v>99.216652198380501</v>
      </c>
      <c r="G21" s="486">
        <f t="shared" si="1"/>
        <v>0</v>
      </c>
      <c r="H21" s="486">
        <f t="shared" si="1"/>
        <v>10203.588390039553</v>
      </c>
      <c r="I21" s="486">
        <f t="shared" si="1"/>
        <v>2601.5356673327833</v>
      </c>
      <c r="J21" s="486">
        <f t="shared" si="1"/>
        <v>0</v>
      </c>
      <c r="K21" s="486">
        <f t="shared" si="1"/>
        <v>0</v>
      </c>
      <c r="L21" s="486">
        <f t="shared" si="1"/>
        <v>0</v>
      </c>
      <c r="M21" s="486">
        <f t="shared" si="1"/>
        <v>0</v>
      </c>
      <c r="N21" s="486">
        <f t="shared" si="1"/>
        <v>0</v>
      </c>
      <c r="O21" s="486">
        <f t="shared" si="1"/>
        <v>0</v>
      </c>
      <c r="P21" s="486">
        <f t="shared" si="1"/>
        <v>0</v>
      </c>
      <c r="Q21" s="486">
        <f t="shared" si="1"/>
        <v>0</v>
      </c>
      <c r="R21" s="486">
        <f t="shared" si="1"/>
        <v>12904.340709570717</v>
      </c>
    </row>
    <row r="22" spans="1:18" ht="14.25" customHeight="1">
      <c r="B22" s="422" t="s">
        <v>474</v>
      </c>
      <c r="C22" s="423"/>
      <c r="D22" s="417"/>
      <c r="E22" s="417"/>
      <c r="F22" s="417"/>
      <c r="G22" s="417"/>
      <c r="H22" s="417"/>
      <c r="I22" s="417"/>
      <c r="J22" s="417"/>
      <c r="K22" s="417"/>
      <c r="L22" s="417"/>
      <c r="M22" s="418"/>
      <c r="N22" s="418"/>
      <c r="O22" s="417"/>
      <c r="P22" s="418"/>
      <c r="Q22" s="419"/>
      <c r="R22" s="420"/>
    </row>
    <row r="23" spans="1:18" ht="14.25" customHeight="1">
      <c r="B23" s="424" t="s">
        <v>475</v>
      </c>
      <c r="C23" s="1219"/>
      <c r="D23" s="1220"/>
      <c r="E23" s="1220"/>
      <c r="F23" s="1220"/>
      <c r="G23" s="1220"/>
      <c r="H23" s="1220"/>
      <c r="I23" s="1220"/>
      <c r="J23" s="1220"/>
      <c r="K23" s="1220"/>
      <c r="L23" s="1220"/>
      <c r="M23" s="1220"/>
      <c r="N23" s="1220"/>
      <c r="O23" s="1220"/>
      <c r="P23" s="1220"/>
      <c r="Q23" s="1221"/>
      <c r="R23" s="425"/>
    </row>
    <row r="24" spans="1:18" ht="14.25" customHeight="1" thickBot="1">
      <c r="B24" s="426" t="s">
        <v>476</v>
      </c>
      <c r="C24" s="1222"/>
      <c r="D24" s="1223"/>
      <c r="E24" s="1223"/>
      <c r="F24" s="1223"/>
      <c r="G24" s="1223"/>
      <c r="H24" s="1223"/>
      <c r="I24" s="1223"/>
      <c r="J24" s="1223"/>
      <c r="K24" s="1223"/>
      <c r="L24" s="1223"/>
      <c r="M24" s="1223"/>
      <c r="N24" s="1223"/>
      <c r="O24" s="1223"/>
      <c r="P24" s="1223"/>
      <c r="Q24" s="1224"/>
      <c r="R24" s="427"/>
    </row>
    <row r="25" spans="1:18" ht="14.25" customHeight="1" thickTop="1" thickBot="1">
      <c r="B25" s="428" t="s">
        <v>379</v>
      </c>
      <c r="C25" s="490">
        <f t="shared" ref="C25:R25" si="2">C14+C21</f>
        <v>21338.302680000001</v>
      </c>
      <c r="D25" s="490">
        <f t="shared" si="2"/>
        <v>2832.21</v>
      </c>
      <c r="E25" s="490">
        <f t="shared" si="2"/>
        <v>9199.3533512461599</v>
      </c>
      <c r="F25" s="490">
        <f t="shared" si="2"/>
        <v>99.216652198380501</v>
      </c>
      <c r="G25" s="490">
        <f t="shared" si="2"/>
        <v>431.91123019669703</v>
      </c>
      <c r="H25" s="490">
        <f t="shared" si="2"/>
        <v>10203.588390039553</v>
      </c>
      <c r="I25" s="490">
        <f t="shared" si="2"/>
        <v>2601.5356673327833</v>
      </c>
      <c r="J25" s="490">
        <f t="shared" si="2"/>
        <v>0</v>
      </c>
      <c r="K25" s="490">
        <f t="shared" si="2"/>
        <v>9678.0599171085687</v>
      </c>
      <c r="L25" s="490">
        <f t="shared" si="2"/>
        <v>0</v>
      </c>
      <c r="M25" s="490">
        <f t="shared" si="2"/>
        <v>0</v>
      </c>
      <c r="N25" s="490">
        <f t="shared" si="2"/>
        <v>0</v>
      </c>
      <c r="O25" s="490">
        <f t="shared" si="2"/>
        <v>0</v>
      </c>
      <c r="P25" s="490">
        <f t="shared" si="2"/>
        <v>0</v>
      </c>
      <c r="Q25" s="491">
        <f t="shared" si="2"/>
        <v>0</v>
      </c>
      <c r="R25" s="490">
        <f t="shared" si="2"/>
        <v>56384.17788812214</v>
      </c>
    </row>
    <row r="26" spans="1:18" ht="14.25" customHeight="1" thickTop="1" thickBot="1">
      <c r="B26" s="404"/>
      <c r="C26" s="429"/>
      <c r="D26" s="429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</row>
    <row r="27" spans="1:18" ht="29.25" customHeight="1" thickTop="1" thickBot="1">
      <c r="B27" s="431" t="s">
        <v>477</v>
      </c>
      <c r="C27" s="432"/>
      <c r="D27" s="433"/>
      <c r="E27" s="433"/>
      <c r="F27" s="434"/>
      <c r="G27" s="435"/>
      <c r="H27" s="433"/>
      <c r="I27" s="433"/>
      <c r="J27" s="434"/>
      <c r="K27" s="433"/>
      <c r="L27" s="433"/>
      <c r="M27" s="433"/>
      <c r="N27" s="434"/>
      <c r="O27" s="435"/>
      <c r="P27" s="433"/>
      <c r="Q27" s="436"/>
      <c r="R27" s="430"/>
    </row>
    <row r="28" spans="1:18" ht="48.75" customHeight="1" thickTop="1" thickBot="1">
      <c r="B28" s="437" t="s">
        <v>478</v>
      </c>
      <c r="C28" s="438"/>
      <c r="D28" s="439"/>
      <c r="E28" s="440"/>
      <c r="F28" s="440"/>
      <c r="G28" s="440"/>
      <c r="H28" s="440"/>
      <c r="I28" s="440"/>
      <c r="J28" s="440"/>
      <c r="K28" s="440"/>
      <c r="L28" s="440"/>
      <c r="M28" s="440"/>
      <c r="N28" s="440"/>
      <c r="O28" s="440"/>
      <c r="P28" s="440"/>
      <c r="Q28" s="440"/>
      <c r="R28" s="632"/>
    </row>
    <row r="29" spans="1:18" ht="14.25" customHeight="1" thickTop="1">
      <c r="B29" s="488"/>
      <c r="C29" s="489"/>
      <c r="D29" s="440"/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30"/>
    </row>
    <row r="30" spans="1:18" ht="14.25" customHeight="1" thickBot="1">
      <c r="B30" s="488"/>
      <c r="C30" s="489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  <c r="Q30" s="440"/>
      <c r="R30" s="430"/>
    </row>
    <row r="31" spans="1:18" ht="21.75" customHeight="1" thickTop="1" thickBot="1">
      <c r="B31" s="1204" t="s">
        <v>376</v>
      </c>
      <c r="C31" s="1242" t="s">
        <v>498</v>
      </c>
      <c r="D31" s="1243"/>
      <c r="E31" s="1243"/>
      <c r="F31" s="1243"/>
      <c r="G31" s="1243"/>
      <c r="H31" s="1243"/>
      <c r="I31" s="1243"/>
      <c r="J31" s="1243"/>
      <c r="K31" s="1243"/>
      <c r="L31" s="1243"/>
      <c r="M31" s="1243"/>
      <c r="N31" s="1243"/>
      <c r="O31" s="1243"/>
      <c r="P31" s="1243"/>
      <c r="Q31" s="1243"/>
      <c r="R31" s="1244"/>
    </row>
    <row r="32" spans="1:18" ht="27.75" customHeight="1" thickTop="1">
      <c r="B32" s="1205"/>
      <c r="C32" s="1209" t="s">
        <v>113</v>
      </c>
      <c r="D32" s="1211" t="s">
        <v>60</v>
      </c>
      <c r="E32" s="1213" t="s">
        <v>377</v>
      </c>
      <c r="F32" s="1214"/>
      <c r="G32" s="1214"/>
      <c r="H32" s="1214"/>
      <c r="I32" s="1214"/>
      <c r="J32" s="1214"/>
      <c r="K32" s="1214"/>
      <c r="L32" s="1215"/>
      <c r="M32" s="1213" t="s">
        <v>378</v>
      </c>
      <c r="N32" s="1214"/>
      <c r="O32" s="1214"/>
      <c r="P32" s="1214"/>
      <c r="Q32" s="1216"/>
      <c r="R32" s="1217" t="s">
        <v>379</v>
      </c>
    </row>
    <row r="33" spans="1:20" ht="39" customHeight="1" thickBot="1">
      <c r="B33" s="1206"/>
      <c r="C33" s="1210"/>
      <c r="D33" s="1212"/>
      <c r="E33" s="398" t="s">
        <v>458</v>
      </c>
      <c r="F33" s="398" t="s">
        <v>380</v>
      </c>
      <c r="G33" s="398" t="s">
        <v>59</v>
      </c>
      <c r="H33" s="398" t="s">
        <v>81</v>
      </c>
      <c r="I33" s="398" t="s">
        <v>19</v>
      </c>
      <c r="J33" s="398" t="s">
        <v>459</v>
      </c>
      <c r="K33" s="406" t="s">
        <v>460</v>
      </c>
      <c r="L33" s="406" t="s">
        <v>461</v>
      </c>
      <c r="M33" s="398" t="s">
        <v>463</v>
      </c>
      <c r="N33" s="398" t="s">
        <v>462</v>
      </c>
      <c r="O33" s="398" t="s">
        <v>464</v>
      </c>
      <c r="P33" s="398" t="s">
        <v>465</v>
      </c>
      <c r="Q33" s="399" t="s">
        <v>466</v>
      </c>
      <c r="R33" s="1218"/>
    </row>
    <row r="34" spans="1:20" ht="20.25" customHeight="1" thickTop="1">
      <c r="B34" s="407" t="s">
        <v>467</v>
      </c>
      <c r="C34" s="408" t="s">
        <v>381</v>
      </c>
      <c r="D34" s="409"/>
      <c r="E34" s="410"/>
      <c r="F34" s="410"/>
      <c r="G34" s="410"/>
      <c r="H34" s="410"/>
      <c r="I34" s="410"/>
      <c r="J34" s="410"/>
      <c r="K34" s="410"/>
      <c r="L34" s="410"/>
      <c r="M34" s="411"/>
      <c r="N34" s="411"/>
      <c r="O34" s="410"/>
      <c r="P34" s="411"/>
      <c r="Q34" s="412"/>
      <c r="R34" s="413"/>
    </row>
    <row r="35" spans="1:20" ht="20.25" customHeight="1">
      <c r="B35" s="401" t="s">
        <v>468</v>
      </c>
      <c r="C35" s="479">
        <f>'Budynki komunalne_2014'!N6</f>
        <v>243.65511999999998</v>
      </c>
      <c r="D35" s="480">
        <f>'Ciepło sieciowe_2020'!G13</f>
        <v>273.59999999999997</v>
      </c>
      <c r="E35" s="480">
        <f>Gaz_2020!H19</f>
        <v>1799.8829662000001</v>
      </c>
      <c r="F35" s="480">
        <v>0</v>
      </c>
      <c r="G35" s="480">
        <v>0</v>
      </c>
      <c r="H35" s="480">
        <v>0</v>
      </c>
      <c r="I35" s="480">
        <v>0</v>
      </c>
      <c r="J35" s="480">
        <v>0</v>
      </c>
      <c r="K35" s="480">
        <f>'Budynki komunalne_2014'!J8</f>
        <v>61.839743999999989</v>
      </c>
      <c r="L35" s="480">
        <v>0</v>
      </c>
      <c r="M35" s="480">
        <v>0</v>
      </c>
      <c r="N35" s="480">
        <v>0</v>
      </c>
      <c r="O35" s="480">
        <v>0</v>
      </c>
      <c r="P35" s="480">
        <v>0</v>
      </c>
      <c r="Q35" s="480">
        <v>0</v>
      </c>
      <c r="R35" s="485">
        <f>SUM(C35:Q35)</f>
        <v>2378.9778302</v>
      </c>
    </row>
    <row r="36" spans="1:20" ht="14.25" customHeight="1">
      <c r="B36" s="414" t="s">
        <v>469</v>
      </c>
      <c r="C36" s="479">
        <f>'En. elektryczna_2020'!F17</f>
        <v>8308.5396503778338</v>
      </c>
      <c r="D36" s="480">
        <f>'Ciepło sieciowe_2020'!G14</f>
        <v>39.96</v>
      </c>
      <c r="E36" s="480">
        <f>Gaz_2020!H17</f>
        <v>2129.0819945960602</v>
      </c>
      <c r="F36" s="480">
        <v>0</v>
      </c>
      <c r="G36" s="480">
        <f>'Budynki niekomunalne_2024'!L12</f>
        <v>9.8433468000000008</v>
      </c>
      <c r="H36" s="480">
        <v>0</v>
      </c>
      <c r="I36" s="480">
        <v>0</v>
      </c>
      <c r="J36" s="480">
        <v>0</v>
      </c>
      <c r="K36" s="480">
        <v>0</v>
      </c>
      <c r="L36" s="480">
        <v>0</v>
      </c>
      <c r="M36" s="480">
        <v>0</v>
      </c>
      <c r="N36" s="480">
        <v>0</v>
      </c>
      <c r="O36" s="480">
        <v>0</v>
      </c>
      <c r="P36" s="480">
        <v>0</v>
      </c>
      <c r="Q36" s="480">
        <v>0</v>
      </c>
      <c r="R36" s="485">
        <f>SUM(C36:Q36)</f>
        <v>10487.424991773893</v>
      </c>
    </row>
    <row r="37" spans="1:20" ht="14.25" customHeight="1">
      <c r="B37" s="401" t="s">
        <v>312</v>
      </c>
      <c r="C37" s="479">
        <f>'En. elektryczna_2020'!F18</f>
        <v>7373.8239243660801</v>
      </c>
      <c r="D37" s="480">
        <f>'Ciepło sieciowe_2020'!G12</f>
        <v>2713.8599999999997</v>
      </c>
      <c r="E37" s="480">
        <f>Gaz_2020!H18</f>
        <v>5078.3907887642308</v>
      </c>
      <c r="F37" s="480">
        <v>0</v>
      </c>
      <c r="G37" s="480">
        <f>'Ciepło_gosp. dom._2020'!J18</f>
        <v>453.2685780099925</v>
      </c>
      <c r="H37" s="480">
        <v>0</v>
      </c>
      <c r="I37" s="480">
        <v>0</v>
      </c>
      <c r="J37" s="480">
        <v>0</v>
      </c>
      <c r="K37" s="480">
        <f>'Ciepło_gosp. dom._2020'!J16</f>
        <v>10327.083900859619</v>
      </c>
      <c r="L37" s="480">
        <v>0</v>
      </c>
      <c r="M37" s="480">
        <v>0</v>
      </c>
      <c r="N37" s="480">
        <v>0</v>
      </c>
      <c r="O37" s="480">
        <v>0</v>
      </c>
      <c r="P37" s="480">
        <v>0</v>
      </c>
      <c r="Q37" s="480">
        <v>0</v>
      </c>
      <c r="R37" s="485">
        <f>SUM(C37:Q37)</f>
        <v>25946.427191999923</v>
      </c>
    </row>
    <row r="38" spans="1:20" ht="14.25" customHeight="1">
      <c r="B38" s="401" t="s">
        <v>389</v>
      </c>
      <c r="C38" s="479">
        <f>'Oświetlenie komunalne_2020'!E13</f>
        <v>1040.9840000000002</v>
      </c>
      <c r="D38" s="480">
        <f>'Oświetlenie komunalne_2020'!E33</f>
        <v>0</v>
      </c>
      <c r="E38" s="480">
        <v>0</v>
      </c>
      <c r="F38" s="480">
        <v>0</v>
      </c>
      <c r="G38" s="480">
        <v>0</v>
      </c>
      <c r="H38" s="480">
        <v>0</v>
      </c>
      <c r="I38" s="480">
        <v>0</v>
      </c>
      <c r="J38" s="480">
        <v>0</v>
      </c>
      <c r="K38" s="480">
        <v>0</v>
      </c>
      <c r="L38" s="480">
        <v>0</v>
      </c>
      <c r="M38" s="480">
        <v>0</v>
      </c>
      <c r="N38" s="480">
        <v>0</v>
      </c>
      <c r="O38" s="480">
        <v>0</v>
      </c>
      <c r="P38" s="480">
        <v>0</v>
      </c>
      <c r="Q38" s="480">
        <v>0</v>
      </c>
      <c r="R38" s="485">
        <f>SUM(C38:Q38)</f>
        <v>1040.9840000000002</v>
      </c>
    </row>
    <row r="39" spans="1:20" ht="14.25" customHeight="1">
      <c r="B39" s="415" t="s">
        <v>470</v>
      </c>
      <c r="C39" s="479">
        <f>'En. elektryczna_2020'!F16</f>
        <v>4135.5726218303953</v>
      </c>
      <c r="D39" s="480">
        <f>'Ciepło sieciowe_2020'!G11</f>
        <v>0</v>
      </c>
      <c r="E39" s="480">
        <f>Gaz_2020!H16</f>
        <v>105.01810093805413</v>
      </c>
      <c r="F39" s="480">
        <v>0</v>
      </c>
      <c r="G39" s="480">
        <v>0</v>
      </c>
      <c r="H39" s="480">
        <v>0</v>
      </c>
      <c r="I39" s="480">
        <v>0</v>
      </c>
      <c r="J39" s="480">
        <v>0</v>
      </c>
      <c r="K39" s="480">
        <v>0</v>
      </c>
      <c r="L39" s="480">
        <v>0</v>
      </c>
      <c r="M39" s="480">
        <v>0</v>
      </c>
      <c r="N39" s="480">
        <v>0</v>
      </c>
      <c r="O39" s="480">
        <v>0</v>
      </c>
      <c r="P39" s="480">
        <v>0</v>
      </c>
      <c r="Q39" s="480">
        <v>0</v>
      </c>
      <c r="R39" s="485">
        <f>SUM(C39:Q39)</f>
        <v>4240.5907227684493</v>
      </c>
    </row>
    <row r="40" spans="1:20" ht="14.25" customHeight="1" thickBot="1">
      <c r="B40" s="416" t="s">
        <v>471</v>
      </c>
      <c r="C40" s="486">
        <f>SUM(C35:C39)</f>
        <v>21102.575316574308</v>
      </c>
      <c r="D40" s="486">
        <f t="shared" ref="D40:R40" si="3">SUM(D35:D39)</f>
        <v>3027.4199999999996</v>
      </c>
      <c r="E40" s="486">
        <f t="shared" si="3"/>
        <v>9112.3738504983448</v>
      </c>
      <c r="F40" s="486">
        <f t="shared" si="3"/>
        <v>0</v>
      </c>
      <c r="G40" s="486">
        <f t="shared" si="3"/>
        <v>463.1119248099925</v>
      </c>
      <c r="H40" s="486">
        <f t="shared" si="3"/>
        <v>0</v>
      </c>
      <c r="I40" s="486">
        <f t="shared" si="3"/>
        <v>0</v>
      </c>
      <c r="J40" s="486">
        <f t="shared" si="3"/>
        <v>0</v>
      </c>
      <c r="K40" s="486">
        <f t="shared" si="3"/>
        <v>10388.92364485962</v>
      </c>
      <c r="L40" s="486">
        <f t="shared" si="3"/>
        <v>0</v>
      </c>
      <c r="M40" s="486">
        <f t="shared" si="3"/>
        <v>0</v>
      </c>
      <c r="N40" s="486">
        <f t="shared" si="3"/>
        <v>0</v>
      </c>
      <c r="O40" s="486">
        <f t="shared" si="3"/>
        <v>0</v>
      </c>
      <c r="P40" s="486">
        <f t="shared" si="3"/>
        <v>0</v>
      </c>
      <c r="Q40" s="511">
        <f t="shared" si="3"/>
        <v>0</v>
      </c>
      <c r="R40" s="487">
        <f t="shared" si="3"/>
        <v>44094.404736742261</v>
      </c>
    </row>
    <row r="41" spans="1:20" ht="14.25" customHeight="1">
      <c r="B41" s="407" t="s">
        <v>384</v>
      </c>
      <c r="C41" s="512"/>
      <c r="D41" s="513"/>
      <c r="E41" s="513"/>
      <c r="F41" s="513"/>
      <c r="G41" s="513"/>
      <c r="H41" s="513"/>
      <c r="I41" s="513"/>
      <c r="J41" s="513"/>
      <c r="K41" s="513"/>
      <c r="L41" s="513"/>
      <c r="M41" s="514"/>
      <c r="N41" s="514"/>
      <c r="O41" s="513"/>
      <c r="P41" s="514"/>
      <c r="Q41" s="515"/>
      <c r="R41" s="516"/>
    </row>
    <row r="42" spans="1:20" ht="14.25" customHeight="1">
      <c r="B42" s="401" t="s">
        <v>348</v>
      </c>
      <c r="C42" s="479">
        <v>0</v>
      </c>
      <c r="D42" s="479">
        <v>0</v>
      </c>
      <c r="E42" s="479">
        <v>0</v>
      </c>
      <c r="F42" s="479">
        <f>'Tabor gminny_2020'!$F$49</f>
        <v>8.6332824507686396</v>
      </c>
      <c r="G42" s="480">
        <v>0</v>
      </c>
      <c r="H42" s="480">
        <f>'Tabor gminny_2020'!$F$49</f>
        <v>8.6332824507686396</v>
      </c>
      <c r="I42" s="480">
        <f>'Tabor gminny_2020'!$F$47</f>
        <v>69.360005088460795</v>
      </c>
      <c r="J42" s="480">
        <v>0</v>
      </c>
      <c r="K42" s="480">
        <v>0</v>
      </c>
      <c r="L42" s="480">
        <v>0</v>
      </c>
      <c r="M42" s="480">
        <v>0</v>
      </c>
      <c r="N42" s="480">
        <v>0</v>
      </c>
      <c r="O42" s="480">
        <v>0</v>
      </c>
      <c r="P42" s="480">
        <v>0</v>
      </c>
      <c r="Q42" s="480">
        <v>0</v>
      </c>
      <c r="R42" s="485">
        <f>SUM(C42:Q42)</f>
        <v>86.626569989998075</v>
      </c>
      <c r="T42" s="261"/>
    </row>
    <row r="43" spans="1:20" ht="14.25" customHeight="1">
      <c r="B43" s="401" t="str">
        <f>B17</f>
        <v>Transport komercyjny autobusy</v>
      </c>
      <c r="C43" s="479">
        <v>0</v>
      </c>
      <c r="D43" s="479">
        <v>0</v>
      </c>
      <c r="E43" s="479">
        <v>0</v>
      </c>
      <c r="F43" s="479">
        <f>'Transport kom. autobusy_2020'!$F$27</f>
        <v>0</v>
      </c>
      <c r="G43" s="480">
        <v>0</v>
      </c>
      <c r="H43" s="480">
        <f>'Transport kom. autobusy_2020'!$G$26</f>
        <v>28.972702945760009</v>
      </c>
      <c r="I43" s="480">
        <f>'Transport kom. autobusy_2020'!$G$25</f>
        <v>0</v>
      </c>
      <c r="J43" s="480">
        <v>0</v>
      </c>
      <c r="K43" s="480">
        <v>0</v>
      </c>
      <c r="L43" s="480">
        <v>0</v>
      </c>
      <c r="M43" s="480">
        <v>0</v>
      </c>
      <c r="N43" s="480">
        <v>0</v>
      </c>
      <c r="O43" s="480">
        <v>0</v>
      </c>
      <c r="P43" s="480">
        <v>0</v>
      </c>
      <c r="Q43" s="480">
        <v>0</v>
      </c>
      <c r="R43" s="485">
        <f>SUM(C43:Q43)</f>
        <v>28.972702945760009</v>
      </c>
    </row>
    <row r="44" spans="1:20" ht="14.25" customHeight="1">
      <c r="B44" s="401" t="s">
        <v>356</v>
      </c>
      <c r="C44" s="479">
        <v>0</v>
      </c>
      <c r="D44" s="479">
        <v>0</v>
      </c>
      <c r="E44" s="479">
        <v>0</v>
      </c>
      <c r="F44" s="479">
        <f>'Transport prywatny_2020'!$G$33</f>
        <v>89.518577827824657</v>
      </c>
      <c r="G44" s="480">
        <v>0</v>
      </c>
      <c r="H44" s="480">
        <f>'Transport prywatny_2020'!G32</f>
        <v>8176.0504942832149</v>
      </c>
      <c r="I44" s="480">
        <f>'Transport prywatny_2020'!$G$31</f>
        <v>1725.7507187309898</v>
      </c>
      <c r="J44" s="480">
        <v>0</v>
      </c>
      <c r="K44" s="480">
        <v>0</v>
      </c>
      <c r="L44" s="480">
        <v>0</v>
      </c>
      <c r="M44" s="480">
        <v>0</v>
      </c>
      <c r="N44" s="480">
        <v>0</v>
      </c>
      <c r="O44" s="480">
        <v>0</v>
      </c>
      <c r="P44" s="480">
        <v>0</v>
      </c>
      <c r="Q44" s="480">
        <v>0</v>
      </c>
      <c r="R44" s="485">
        <f>SUM(C44:Q44)</f>
        <v>9991.3197908420298</v>
      </c>
    </row>
    <row r="45" spans="1:20" ht="14.25" customHeight="1">
      <c r="A45" t="s">
        <v>590</v>
      </c>
      <c r="B45" s="401"/>
      <c r="C45" s="479">
        <v>0</v>
      </c>
      <c r="D45" s="479">
        <v>0</v>
      </c>
      <c r="E45" s="479">
        <v>0</v>
      </c>
      <c r="F45" s="479">
        <v>0</v>
      </c>
      <c r="G45" s="480">
        <v>0</v>
      </c>
      <c r="H45" s="480">
        <v>0</v>
      </c>
      <c r="I45" s="480">
        <v>0</v>
      </c>
      <c r="J45" s="480">
        <v>0</v>
      </c>
      <c r="K45" s="480">
        <v>0</v>
      </c>
      <c r="L45" s="480">
        <v>0</v>
      </c>
      <c r="M45" s="480">
        <v>0</v>
      </c>
      <c r="N45" s="480">
        <v>0</v>
      </c>
      <c r="O45" s="480">
        <v>0</v>
      </c>
      <c r="P45" s="480">
        <v>0</v>
      </c>
      <c r="Q45" s="480">
        <v>0</v>
      </c>
      <c r="R45" s="485">
        <v>0</v>
      </c>
    </row>
    <row r="46" spans="1:20" ht="14.25" customHeight="1">
      <c r="B46" s="401" t="s">
        <v>497</v>
      </c>
      <c r="C46" s="479">
        <v>0</v>
      </c>
      <c r="D46" s="479">
        <v>0</v>
      </c>
      <c r="E46" s="479">
        <v>0</v>
      </c>
      <c r="F46" s="479">
        <f>'Transport komercyjny_2020'!$G$33</f>
        <v>0</v>
      </c>
      <c r="G46" s="480">
        <v>0</v>
      </c>
      <c r="H46" s="480">
        <f>'Transport komercyjny_2020'!$G$32</f>
        <v>1866.85352027929</v>
      </c>
      <c r="I46" s="480">
        <f>'Transport komercyjny_2020'!G16</f>
        <v>786.24920173141084</v>
      </c>
      <c r="J46" s="480">
        <v>0</v>
      </c>
      <c r="K46" s="480">
        <v>0</v>
      </c>
      <c r="L46" s="480">
        <v>0</v>
      </c>
      <c r="M46" s="480">
        <v>0</v>
      </c>
      <c r="N46" s="480">
        <v>0</v>
      </c>
      <c r="O46" s="480">
        <v>0</v>
      </c>
      <c r="P46" s="480">
        <v>0</v>
      </c>
      <c r="Q46" s="480">
        <v>0</v>
      </c>
      <c r="R46" s="485">
        <f>SUM(C46:Q46)</f>
        <v>2653.1027220107007</v>
      </c>
    </row>
    <row r="47" spans="1:20" ht="14.25" customHeight="1" thickBot="1">
      <c r="B47" s="421" t="s">
        <v>472</v>
      </c>
      <c r="C47" s="486">
        <f t="shared" ref="C47:R47" si="4">SUM(C42:C46)</f>
        <v>0</v>
      </c>
      <c r="D47" s="486">
        <f t="shared" si="4"/>
        <v>0</v>
      </c>
      <c r="E47" s="486">
        <f t="shared" si="4"/>
        <v>0</v>
      </c>
      <c r="F47" s="486">
        <f t="shared" si="4"/>
        <v>98.15186027859329</v>
      </c>
      <c r="G47" s="486">
        <f t="shared" si="4"/>
        <v>0</v>
      </c>
      <c r="H47" s="486">
        <f t="shared" si="4"/>
        <v>10080.509999959033</v>
      </c>
      <c r="I47" s="486">
        <f t="shared" si="4"/>
        <v>2581.3599255508616</v>
      </c>
      <c r="J47" s="486">
        <f t="shared" si="4"/>
        <v>0</v>
      </c>
      <c r="K47" s="486">
        <f t="shared" si="4"/>
        <v>0</v>
      </c>
      <c r="L47" s="486">
        <f t="shared" si="4"/>
        <v>0</v>
      </c>
      <c r="M47" s="486">
        <f t="shared" si="4"/>
        <v>0</v>
      </c>
      <c r="N47" s="486">
        <f t="shared" si="4"/>
        <v>0</v>
      </c>
      <c r="O47" s="486">
        <f t="shared" si="4"/>
        <v>0</v>
      </c>
      <c r="P47" s="486">
        <f t="shared" si="4"/>
        <v>0</v>
      </c>
      <c r="Q47" s="486">
        <f t="shared" si="4"/>
        <v>0</v>
      </c>
      <c r="R47" s="486">
        <f t="shared" si="4"/>
        <v>12760.021785788489</v>
      </c>
    </row>
    <row r="48" spans="1:20" ht="14.25" customHeight="1">
      <c r="B48" s="422" t="s">
        <v>474</v>
      </c>
      <c r="C48" s="517"/>
      <c r="D48" s="513"/>
      <c r="E48" s="513"/>
      <c r="F48" s="513"/>
      <c r="G48" s="513"/>
      <c r="H48" s="513"/>
      <c r="I48" s="513"/>
      <c r="J48" s="513"/>
      <c r="K48" s="513"/>
      <c r="L48" s="513"/>
      <c r="M48" s="514"/>
      <c r="N48" s="514"/>
      <c r="O48" s="513"/>
      <c r="P48" s="514"/>
      <c r="Q48" s="515"/>
      <c r="R48" s="516"/>
    </row>
    <row r="49" spans="2:18" ht="14.25" customHeight="1">
      <c r="B49" s="424" t="s">
        <v>475</v>
      </c>
      <c r="C49" s="1260"/>
      <c r="D49" s="1261"/>
      <c r="E49" s="1261"/>
      <c r="F49" s="1261"/>
      <c r="G49" s="1261"/>
      <c r="H49" s="1261"/>
      <c r="I49" s="1261"/>
      <c r="J49" s="1261"/>
      <c r="K49" s="1261"/>
      <c r="L49" s="1261"/>
      <c r="M49" s="1261"/>
      <c r="N49" s="1261"/>
      <c r="O49" s="1261"/>
      <c r="P49" s="1261"/>
      <c r="Q49" s="1262"/>
      <c r="R49" s="518"/>
    </row>
    <row r="50" spans="2:18" ht="14.25" customHeight="1" thickBot="1">
      <c r="B50" s="426" t="s">
        <v>476</v>
      </c>
      <c r="C50" s="1263"/>
      <c r="D50" s="1264"/>
      <c r="E50" s="1264"/>
      <c r="F50" s="1264"/>
      <c r="G50" s="1264"/>
      <c r="H50" s="1264"/>
      <c r="I50" s="1264"/>
      <c r="J50" s="1264"/>
      <c r="K50" s="1264"/>
      <c r="L50" s="1264"/>
      <c r="M50" s="1264"/>
      <c r="N50" s="1264"/>
      <c r="O50" s="1264"/>
      <c r="P50" s="1264"/>
      <c r="Q50" s="1265"/>
      <c r="R50" s="519"/>
    </row>
    <row r="51" spans="2:18" ht="14.25" customHeight="1" thickTop="1" thickBot="1">
      <c r="B51" s="428" t="s">
        <v>379</v>
      </c>
      <c r="C51" s="490">
        <f t="shared" ref="C51:R51" si="5">C40+C47</f>
        <v>21102.575316574308</v>
      </c>
      <c r="D51" s="490">
        <f t="shared" si="5"/>
        <v>3027.4199999999996</v>
      </c>
      <c r="E51" s="490">
        <f t="shared" si="5"/>
        <v>9112.3738504983448</v>
      </c>
      <c r="F51" s="490">
        <f t="shared" si="5"/>
        <v>98.15186027859329</v>
      </c>
      <c r="G51" s="490">
        <f t="shared" si="5"/>
        <v>463.1119248099925</v>
      </c>
      <c r="H51" s="490">
        <f t="shared" si="5"/>
        <v>10080.509999959033</v>
      </c>
      <c r="I51" s="490">
        <f t="shared" si="5"/>
        <v>2581.3599255508616</v>
      </c>
      <c r="J51" s="490">
        <f t="shared" si="5"/>
        <v>0</v>
      </c>
      <c r="K51" s="490">
        <f t="shared" si="5"/>
        <v>10388.92364485962</v>
      </c>
      <c r="L51" s="490">
        <f t="shared" si="5"/>
        <v>0</v>
      </c>
      <c r="M51" s="490">
        <f t="shared" si="5"/>
        <v>0</v>
      </c>
      <c r="N51" s="490">
        <f t="shared" si="5"/>
        <v>0</v>
      </c>
      <c r="O51" s="490">
        <f t="shared" si="5"/>
        <v>0</v>
      </c>
      <c r="P51" s="490">
        <f t="shared" si="5"/>
        <v>0</v>
      </c>
      <c r="Q51" s="491">
        <f t="shared" si="5"/>
        <v>0</v>
      </c>
      <c r="R51" s="490">
        <f t="shared" si="5"/>
        <v>56854.426522530746</v>
      </c>
    </row>
    <row r="52" spans="2:18" ht="14.25" customHeight="1" thickTop="1" thickBot="1">
      <c r="B52" s="404"/>
      <c r="C52" s="429"/>
      <c r="D52" s="429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</row>
    <row r="53" spans="2:18" ht="25.5" customHeight="1" thickTop="1" thickBot="1">
      <c r="B53" s="431" t="s">
        <v>477</v>
      </c>
      <c r="C53" s="432"/>
      <c r="D53" s="433"/>
      <c r="E53" s="433"/>
      <c r="F53" s="434"/>
      <c r="G53" s="435"/>
      <c r="H53" s="433"/>
      <c r="I53" s="433"/>
      <c r="J53" s="434"/>
      <c r="K53" s="433"/>
      <c r="L53" s="433"/>
      <c r="M53" s="433"/>
      <c r="N53" s="434"/>
      <c r="O53" s="435"/>
      <c r="P53" s="433"/>
      <c r="Q53" s="436"/>
      <c r="R53" s="430"/>
    </row>
    <row r="54" spans="2:18" ht="46.5" customHeight="1" thickTop="1" thickBot="1">
      <c r="B54" s="437" t="s">
        <v>478</v>
      </c>
      <c r="C54" s="438"/>
      <c r="D54" s="439"/>
      <c r="E54" s="440"/>
      <c r="F54" s="440"/>
      <c r="G54" s="440"/>
      <c r="H54" s="440"/>
      <c r="I54" s="440"/>
      <c r="J54" s="440"/>
      <c r="K54" s="440"/>
      <c r="L54" s="440"/>
      <c r="M54" s="440"/>
      <c r="N54" s="440"/>
      <c r="O54" s="440"/>
      <c r="P54" s="440"/>
      <c r="Q54" s="440"/>
      <c r="R54" s="430"/>
    </row>
    <row r="55" spans="2:18" ht="14.25" customHeight="1" thickTop="1">
      <c r="B55" s="488"/>
      <c r="C55" s="489"/>
      <c r="D55" s="440"/>
      <c r="E55" s="440"/>
      <c r="F55" s="440"/>
      <c r="G55" s="440"/>
      <c r="H55" s="440"/>
      <c r="I55" s="440"/>
      <c r="J55" s="440"/>
      <c r="K55" s="440"/>
      <c r="L55" s="440"/>
      <c r="M55" s="440"/>
      <c r="N55" s="440"/>
      <c r="O55" s="440"/>
      <c r="P55" s="440"/>
      <c r="Q55" s="440"/>
      <c r="R55" s="430"/>
    </row>
    <row r="56" spans="2:18" ht="14.25" customHeight="1">
      <c r="B56" s="441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0"/>
    </row>
    <row r="57" spans="2:18" ht="14.25" customHeight="1">
      <c r="B57" s="442" t="s">
        <v>479</v>
      </c>
      <c r="C57" s="392"/>
      <c r="D57" s="441"/>
      <c r="E57" s="392"/>
      <c r="F57" s="392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</row>
    <row r="58" spans="2:18" ht="14.25" customHeight="1">
      <c r="B58" s="1189"/>
      <c r="C58" s="1189"/>
      <c r="D58" s="1189"/>
      <c r="E58" s="1189"/>
      <c r="F58" s="1189"/>
      <c r="G58" s="1189"/>
      <c r="H58" s="1189"/>
      <c r="I58" s="1189"/>
      <c r="J58" s="1189"/>
      <c r="K58" s="1189"/>
      <c r="L58" s="1189"/>
      <c r="M58" s="1189"/>
      <c r="N58" s="1189"/>
      <c r="O58" s="1189"/>
      <c r="P58" s="1189"/>
      <c r="Q58" s="1189"/>
      <c r="R58" s="443"/>
    </row>
    <row r="59" spans="2:18" ht="14.25" customHeight="1" thickBot="1">
      <c r="B59" s="394"/>
      <c r="C59" s="394"/>
      <c r="D59" s="394"/>
      <c r="E59" s="394"/>
      <c r="F59" s="394"/>
      <c r="G59" s="394"/>
      <c r="H59" s="394"/>
      <c r="I59" s="394"/>
      <c r="J59" s="394"/>
      <c r="K59" s="394"/>
      <c r="L59" s="394"/>
      <c r="M59" s="394"/>
      <c r="N59" s="394"/>
      <c r="O59" s="394"/>
      <c r="P59" s="394"/>
      <c r="Q59" s="394"/>
      <c r="R59" s="394"/>
    </row>
    <row r="60" spans="2:18" ht="14.25" customHeight="1" thickTop="1" thickBot="1">
      <c r="B60" s="1217" t="s">
        <v>480</v>
      </c>
      <c r="C60" s="1217" t="s">
        <v>481</v>
      </c>
      <c r="D60" s="1228" t="s">
        <v>482</v>
      </c>
      <c r="E60" s="1229"/>
      <c r="F60" s="1229"/>
      <c r="G60" s="1229"/>
      <c r="H60" s="1229"/>
      <c r="I60" s="1229"/>
      <c r="J60" s="1229"/>
      <c r="K60" s="1229"/>
      <c r="L60" s="1229"/>
      <c r="M60" s="1229"/>
      <c r="N60" s="1230"/>
      <c r="O60" s="1231" t="s">
        <v>483</v>
      </c>
      <c r="P60" s="1233" t="s">
        <v>484</v>
      </c>
      <c r="Q60" s="1234"/>
      <c r="R60" s="444"/>
    </row>
    <row r="61" spans="2:18" ht="14.25" customHeight="1" thickBot="1">
      <c r="B61" s="1225"/>
      <c r="C61" s="1225"/>
      <c r="D61" s="1236" t="s">
        <v>377</v>
      </c>
      <c r="E61" s="1237"/>
      <c r="F61" s="1237"/>
      <c r="G61" s="1237"/>
      <c r="H61" s="1238"/>
      <c r="I61" s="1196" t="s">
        <v>485</v>
      </c>
      <c r="J61" s="1196" t="s">
        <v>486</v>
      </c>
      <c r="K61" s="1239" t="s">
        <v>462</v>
      </c>
      <c r="L61" s="1239" t="s">
        <v>464</v>
      </c>
      <c r="M61" s="1239" t="s">
        <v>487</v>
      </c>
      <c r="N61" s="1240" t="s">
        <v>488</v>
      </c>
      <c r="O61" s="1232"/>
      <c r="P61" s="1235"/>
      <c r="Q61" s="1232"/>
      <c r="R61" s="444"/>
    </row>
    <row r="62" spans="2:18" ht="49.5" customHeight="1" thickBot="1">
      <c r="B62" s="1226"/>
      <c r="C62" s="1227"/>
      <c r="D62" s="445" t="s">
        <v>458</v>
      </c>
      <c r="E62" s="395" t="s">
        <v>380</v>
      </c>
      <c r="F62" s="397" t="s">
        <v>59</v>
      </c>
      <c r="G62" s="446" t="s">
        <v>459</v>
      </c>
      <c r="H62" s="447" t="s">
        <v>460</v>
      </c>
      <c r="I62" s="1197"/>
      <c r="J62" s="1197"/>
      <c r="K62" s="1199"/>
      <c r="L62" s="1199"/>
      <c r="M62" s="1199"/>
      <c r="N62" s="1241"/>
      <c r="O62" s="1182"/>
      <c r="P62" s="1227"/>
      <c r="Q62" s="1182"/>
      <c r="R62" s="444"/>
    </row>
    <row r="63" spans="2:18" ht="14.25" customHeight="1" thickTop="1">
      <c r="B63" s="448" t="s">
        <v>489</v>
      </c>
      <c r="C63" s="449">
        <v>0</v>
      </c>
      <c r="D63" s="1266"/>
      <c r="E63" s="1250"/>
      <c r="F63" s="1250"/>
      <c r="G63" s="1269"/>
      <c r="H63" s="1272"/>
      <c r="I63" s="1247"/>
      <c r="J63" s="1250"/>
      <c r="K63" s="1250"/>
      <c r="L63" s="1250"/>
      <c r="M63" s="450"/>
      <c r="N63" s="1253"/>
      <c r="O63" s="451"/>
      <c r="P63" s="1258"/>
      <c r="Q63" s="1259"/>
      <c r="R63" s="392"/>
    </row>
    <row r="64" spans="2:18" ht="14.25" customHeight="1">
      <c r="B64" s="452" t="s">
        <v>490</v>
      </c>
      <c r="C64" s="453">
        <v>0</v>
      </c>
      <c r="D64" s="1267"/>
      <c r="E64" s="1251"/>
      <c r="F64" s="1251"/>
      <c r="G64" s="1270"/>
      <c r="H64" s="1273"/>
      <c r="I64" s="1248"/>
      <c r="J64" s="1251"/>
      <c r="K64" s="1251"/>
      <c r="L64" s="1251"/>
      <c r="M64" s="1251"/>
      <c r="N64" s="1254"/>
      <c r="O64" s="454"/>
      <c r="P64" s="1256"/>
      <c r="Q64" s="1257"/>
      <c r="R64" s="392"/>
    </row>
    <row r="65" spans="2:18" ht="14.25" customHeight="1">
      <c r="B65" s="452" t="s">
        <v>491</v>
      </c>
      <c r="C65" s="453">
        <v>0</v>
      </c>
      <c r="D65" s="1268"/>
      <c r="E65" s="1252"/>
      <c r="F65" s="1252"/>
      <c r="G65" s="1271"/>
      <c r="H65" s="1274"/>
      <c r="I65" s="1249"/>
      <c r="J65" s="1252"/>
      <c r="K65" s="1252"/>
      <c r="L65" s="1252"/>
      <c r="M65" s="1252"/>
      <c r="N65" s="1255"/>
      <c r="O65" s="454"/>
      <c r="P65" s="1256"/>
      <c r="Q65" s="1257"/>
      <c r="R65" s="392"/>
    </row>
    <row r="66" spans="2:18" ht="14.25" customHeight="1">
      <c r="B66" s="452" t="s">
        <v>492</v>
      </c>
      <c r="C66" s="453">
        <v>0</v>
      </c>
      <c r="D66" s="455"/>
      <c r="E66" s="456"/>
      <c r="F66" s="456"/>
      <c r="G66" s="457"/>
      <c r="H66" s="458"/>
      <c r="I66" s="459"/>
      <c r="J66" s="456"/>
      <c r="K66" s="456"/>
      <c r="L66" s="456"/>
      <c r="M66" s="456"/>
      <c r="N66" s="460"/>
      <c r="O66" s="454"/>
      <c r="P66" s="1256"/>
      <c r="Q66" s="1257"/>
      <c r="R66" s="444"/>
    </row>
    <row r="67" spans="2:18" ht="14.25" customHeight="1" thickBot="1">
      <c r="B67" s="461" t="s">
        <v>493</v>
      </c>
      <c r="C67" s="462">
        <v>0</v>
      </c>
      <c r="D67" s="463"/>
      <c r="E67" s="464"/>
      <c r="F67" s="464"/>
      <c r="G67" s="464"/>
      <c r="H67" s="465"/>
      <c r="I67" s="466"/>
      <c r="J67" s="464"/>
      <c r="K67" s="464"/>
      <c r="L67" s="464"/>
      <c r="M67" s="467"/>
      <c r="N67" s="468"/>
      <c r="O67" s="469"/>
      <c r="P67" s="1245"/>
      <c r="Q67" s="1246"/>
      <c r="R67" s="444"/>
    </row>
    <row r="68" spans="2:18" ht="15" customHeight="1" thickTop="1" thickBot="1">
      <c r="B68" s="470" t="s">
        <v>379</v>
      </c>
      <c r="C68" s="471">
        <f>SUM(C63:C67)</f>
        <v>0</v>
      </c>
      <c r="D68" s="472">
        <f>SUM(D66:D67)</f>
        <v>0</v>
      </c>
      <c r="E68" s="472">
        <f t="shared" ref="E68:N68" si="6">SUM(E66:E67)</f>
        <v>0</v>
      </c>
      <c r="F68" s="472">
        <f t="shared" si="6"/>
        <v>0</v>
      </c>
      <c r="G68" s="472">
        <f t="shared" si="6"/>
        <v>0</v>
      </c>
      <c r="H68" s="472">
        <f t="shared" si="6"/>
        <v>0</v>
      </c>
      <c r="I68" s="472">
        <f t="shared" si="6"/>
        <v>0</v>
      </c>
      <c r="J68" s="472">
        <f t="shared" si="6"/>
        <v>0</v>
      </c>
      <c r="K68" s="472">
        <f t="shared" si="6"/>
        <v>0</v>
      </c>
      <c r="L68" s="472">
        <f t="shared" si="6"/>
        <v>0</v>
      </c>
      <c r="M68" s="472">
        <f t="shared" si="6"/>
        <v>0</v>
      </c>
      <c r="N68" s="472">
        <f t="shared" si="6"/>
        <v>0</v>
      </c>
      <c r="O68" s="473">
        <f>SUM(O63:O67)</f>
        <v>0</v>
      </c>
      <c r="P68" s="474"/>
      <c r="Q68" s="475"/>
      <c r="R68" s="444"/>
    </row>
    <row r="69" spans="2:18" ht="15.75" customHeight="1" thickTop="1">
      <c r="B69" s="476"/>
      <c r="C69" s="477"/>
      <c r="D69" s="477"/>
      <c r="E69" s="404"/>
      <c r="F69" s="392"/>
      <c r="G69" s="392"/>
      <c r="H69" s="392"/>
      <c r="I69" s="478"/>
      <c r="J69" s="392"/>
      <c r="K69" s="392"/>
      <c r="L69" s="392"/>
      <c r="M69" s="392"/>
      <c r="N69" s="478"/>
      <c r="O69" s="392"/>
      <c r="P69" s="392"/>
      <c r="Q69" s="392"/>
      <c r="R69" s="392"/>
    </row>
    <row r="70" spans="2:18" ht="15">
      <c r="B70" s="404"/>
      <c r="C70" s="477"/>
      <c r="D70" s="477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</row>
  </sheetData>
  <mergeCells count="45">
    <mergeCell ref="R32:R33"/>
    <mergeCell ref="P63:Q63"/>
    <mergeCell ref="M64:M65"/>
    <mergeCell ref="P64:Q64"/>
    <mergeCell ref="P65:Q65"/>
    <mergeCell ref="C49:Q50"/>
    <mergeCell ref="C32:C33"/>
    <mergeCell ref="D32:D33"/>
    <mergeCell ref="E32:L32"/>
    <mergeCell ref="M32:Q32"/>
    <mergeCell ref="D63:D65"/>
    <mergeCell ref="E63:E65"/>
    <mergeCell ref="F63:F65"/>
    <mergeCell ref="G63:G65"/>
    <mergeCell ref="H63:H65"/>
    <mergeCell ref="P67:Q67"/>
    <mergeCell ref="I63:I65"/>
    <mergeCell ref="J63:J65"/>
    <mergeCell ref="K63:K65"/>
    <mergeCell ref="L63:L65"/>
    <mergeCell ref="N63:N65"/>
    <mergeCell ref="P66:Q66"/>
    <mergeCell ref="C23:Q24"/>
    <mergeCell ref="B58:Q58"/>
    <mergeCell ref="B60:B62"/>
    <mergeCell ref="C60:C62"/>
    <mergeCell ref="D60:N60"/>
    <mergeCell ref="O60:O62"/>
    <mergeCell ref="P60:Q62"/>
    <mergeCell ref="D61:H61"/>
    <mergeCell ref="I61:I62"/>
    <mergeCell ref="J61:J62"/>
    <mergeCell ref="K61:K62"/>
    <mergeCell ref="L61:L62"/>
    <mergeCell ref="M61:M62"/>
    <mergeCell ref="N61:N62"/>
    <mergeCell ref="B31:B33"/>
    <mergeCell ref="C31:R31"/>
    <mergeCell ref="B5:B7"/>
    <mergeCell ref="C5:R5"/>
    <mergeCell ref="C6:C7"/>
    <mergeCell ref="D6:D7"/>
    <mergeCell ref="E6:L6"/>
    <mergeCell ref="M6:Q6"/>
    <mergeCell ref="R6:R7"/>
  </mergeCells>
  <pageMargins left="0.7" right="0.7" top="0.75" bottom="0.75" header="0.3" footer="0.3"/>
  <ignoredErrors>
    <ignoredError sqref="C13 C14:R14 F20:F21 R20:R21 H20:I20 C21:E21 G21:Q21 C25:R25 K35 R35:R40 G36:G37 C35:E37 K37 E39:E40 C38:D40 F40:Q40 F46:F47 R46:R47 H46:I46 C47:E47 G47:Q47 C51:R51 C68:O68 K9 R9:R13 G10:G11 C9:E11 K11 C12 H16:I18 R16:R18 F16:F18 H42:I44 R42:R44 F42:F44 E13" unlocked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2:U123"/>
  <sheetViews>
    <sheetView showGridLines="0" zoomScale="70" zoomScaleNormal="70" workbookViewId="0">
      <selection activeCell="R48" sqref="R48:R52"/>
    </sheetView>
  </sheetViews>
  <sheetFormatPr defaultRowHeight="16.5"/>
  <cols>
    <col min="1" max="1" width="2.75" style="776" customWidth="1"/>
    <col min="2" max="2" width="53.375" style="776" customWidth="1"/>
    <col min="3" max="3" width="11.875" style="776" customWidth="1"/>
    <col min="4" max="4" width="11.625" style="776" customWidth="1"/>
    <col min="5" max="5" width="11.875" style="776" customWidth="1"/>
    <col min="6" max="6" width="9.75" style="776" customWidth="1"/>
    <col min="7" max="7" width="9.625" style="776" customWidth="1"/>
    <col min="8" max="8" width="12.625" style="776" customWidth="1"/>
    <col min="9" max="9" width="11.125" style="776" customWidth="1"/>
    <col min="10" max="10" width="10.875" style="776" customWidth="1"/>
    <col min="11" max="11" width="11.75" style="776" customWidth="1"/>
    <col min="12" max="12" width="9.375" style="776" customWidth="1"/>
    <col min="13" max="13" width="10" style="776" customWidth="1"/>
    <col min="14" max="14" width="10.375" style="776" customWidth="1"/>
    <col min="15" max="15" width="8.875" style="776" customWidth="1"/>
    <col min="16" max="16" width="11.25" style="776" customWidth="1"/>
    <col min="17" max="17" width="13.75" style="776" customWidth="1"/>
    <col min="18" max="18" width="14" style="776" customWidth="1"/>
    <col min="19" max="16384" width="9" style="776"/>
  </cols>
  <sheetData>
    <row r="2" spans="2:18">
      <c r="B2" s="1300" t="s">
        <v>457</v>
      </c>
      <c r="C2" s="1301"/>
      <c r="D2" s="775"/>
      <c r="E2" s="775"/>
      <c r="F2" s="775"/>
      <c r="G2" s="775"/>
      <c r="H2" s="823"/>
      <c r="I2" s="823"/>
      <c r="J2" s="824"/>
      <c r="K2" s="824"/>
      <c r="L2" s="823"/>
      <c r="M2" s="823"/>
      <c r="N2" s="823"/>
      <c r="O2" s="823"/>
      <c r="P2" s="823"/>
      <c r="Q2" s="823"/>
      <c r="R2" s="823"/>
    </row>
    <row r="3" spans="2:18">
      <c r="B3" s="1302"/>
      <c r="C3" s="1302"/>
      <c r="D3" s="1302"/>
      <c r="E3" s="1302"/>
      <c r="F3" s="1302"/>
      <c r="G3" s="1302"/>
      <c r="H3" s="1302"/>
      <c r="I3" s="1302"/>
      <c r="J3" s="1302"/>
      <c r="K3" s="1302"/>
      <c r="L3" s="1302"/>
      <c r="M3" s="1302"/>
      <c r="N3" s="1302"/>
      <c r="O3" s="1302"/>
      <c r="P3" s="1302"/>
      <c r="Q3" s="1302"/>
      <c r="R3" s="1302"/>
    </row>
    <row r="4" spans="2:18" ht="17.25" customHeight="1" thickBot="1"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</row>
    <row r="5" spans="2:18" ht="17.25" customHeight="1" thickTop="1" thickBot="1">
      <c r="B5" s="1284" t="s">
        <v>376</v>
      </c>
      <c r="C5" s="1287" t="s">
        <v>494</v>
      </c>
      <c r="D5" s="1288"/>
      <c r="E5" s="1288"/>
      <c r="F5" s="1288"/>
      <c r="G5" s="1288"/>
      <c r="H5" s="1288"/>
      <c r="I5" s="1288"/>
      <c r="J5" s="1288"/>
      <c r="K5" s="1288"/>
      <c r="L5" s="1288"/>
      <c r="M5" s="1288"/>
      <c r="N5" s="1288"/>
      <c r="O5" s="1288"/>
      <c r="P5" s="1288"/>
      <c r="Q5" s="1288"/>
      <c r="R5" s="1289"/>
    </row>
    <row r="6" spans="2:18" ht="17.25" customHeight="1" thickTop="1">
      <c r="B6" s="1285"/>
      <c r="C6" s="1290" t="s">
        <v>113</v>
      </c>
      <c r="D6" s="1292" t="s">
        <v>60</v>
      </c>
      <c r="E6" s="1294" t="s">
        <v>377</v>
      </c>
      <c r="F6" s="1295"/>
      <c r="G6" s="1295"/>
      <c r="H6" s="1295"/>
      <c r="I6" s="1295"/>
      <c r="J6" s="1295"/>
      <c r="K6" s="1295"/>
      <c r="L6" s="1296"/>
      <c r="M6" s="1294" t="s">
        <v>378</v>
      </c>
      <c r="N6" s="1295"/>
      <c r="O6" s="1295"/>
      <c r="P6" s="1295"/>
      <c r="Q6" s="1297"/>
      <c r="R6" s="1298" t="s">
        <v>379</v>
      </c>
    </row>
    <row r="7" spans="2:18" ht="35.25" customHeight="1" thickBot="1">
      <c r="B7" s="1286"/>
      <c r="C7" s="1291"/>
      <c r="D7" s="1293"/>
      <c r="E7" s="778" t="s">
        <v>458</v>
      </c>
      <c r="F7" s="778" t="s">
        <v>380</v>
      </c>
      <c r="G7" s="779" t="s">
        <v>59</v>
      </c>
      <c r="H7" s="778" t="s">
        <v>81</v>
      </c>
      <c r="I7" s="778" t="s">
        <v>19</v>
      </c>
      <c r="J7" s="778" t="s">
        <v>459</v>
      </c>
      <c r="K7" s="780" t="s">
        <v>460</v>
      </c>
      <c r="L7" s="780" t="s">
        <v>461</v>
      </c>
      <c r="M7" s="779" t="s">
        <v>462</v>
      </c>
      <c r="N7" s="781" t="s">
        <v>463</v>
      </c>
      <c r="O7" s="781" t="s">
        <v>464</v>
      </c>
      <c r="P7" s="781" t="s">
        <v>465</v>
      </c>
      <c r="Q7" s="782" t="s">
        <v>466</v>
      </c>
      <c r="R7" s="1299"/>
    </row>
    <row r="8" spans="2:18" ht="17.25" customHeight="1" thickTop="1">
      <c r="B8" s="825" t="s">
        <v>467</v>
      </c>
      <c r="C8" s="1275" t="s">
        <v>381</v>
      </c>
      <c r="D8" s="1275"/>
      <c r="E8" s="1275"/>
      <c r="F8" s="1275"/>
      <c r="G8" s="1275"/>
      <c r="H8" s="1275"/>
      <c r="I8" s="1275"/>
      <c r="J8" s="1275"/>
      <c r="K8" s="1275"/>
      <c r="L8" s="1275"/>
      <c r="M8" s="1275"/>
      <c r="N8" s="1275"/>
      <c r="O8" s="1275"/>
      <c r="P8" s="1275"/>
      <c r="Q8" s="1276"/>
      <c r="R8" s="783"/>
    </row>
    <row r="9" spans="2:18" ht="17.25" customHeight="1">
      <c r="B9" s="784" t="s">
        <v>468</v>
      </c>
      <c r="C9" s="785">
        <f>'En. elektryczna_2028'!D10</f>
        <v>292.51</v>
      </c>
      <c r="D9" s="786">
        <f>'Ciepło sieciowe_2028'!D7*0.277</f>
        <v>842.08</v>
      </c>
      <c r="E9" s="786">
        <f>Gaz_2028!F10</f>
        <v>10045.848796444445</v>
      </c>
      <c r="F9" s="786">
        <v>0</v>
      </c>
      <c r="G9" s="786">
        <v>0</v>
      </c>
      <c r="H9" s="786">
        <v>0</v>
      </c>
      <c r="I9" s="786">
        <v>0</v>
      </c>
      <c r="J9" s="786">
        <v>0</v>
      </c>
      <c r="K9" s="786">
        <f>'Budynki komunalne_2014'!H8</f>
        <v>180.82560000000001</v>
      </c>
      <c r="L9" s="786">
        <v>0</v>
      </c>
      <c r="M9" s="786">
        <v>0</v>
      </c>
      <c r="N9" s="786">
        <v>0</v>
      </c>
      <c r="O9" s="786">
        <v>0</v>
      </c>
      <c r="P9" s="786">
        <v>0</v>
      </c>
      <c r="Q9" s="787">
        <v>0</v>
      </c>
      <c r="R9" s="788">
        <f>SUM(C9:Q9)</f>
        <v>11361.264396444445</v>
      </c>
    </row>
    <row r="10" spans="2:18" ht="17.25" customHeight="1">
      <c r="B10" s="789" t="s">
        <v>469</v>
      </c>
      <c r="C10" s="785">
        <f>'En. elektryczna_2028'!D8</f>
        <v>10353.9</v>
      </c>
      <c r="D10" s="786">
        <f>'Ciepło sieciowe_2028'!D8*D67</f>
        <v>96.95</v>
      </c>
      <c r="E10" s="786">
        <f>Gaz_2028!F8</f>
        <v>10721.001404444445</v>
      </c>
      <c r="F10" s="786">
        <v>0</v>
      </c>
      <c r="G10" s="786">
        <f>'Budynki niekomunalne_2014'!H12</f>
        <v>35.600040000000007</v>
      </c>
      <c r="H10" s="786">
        <v>0</v>
      </c>
      <c r="I10" s="786">
        <v>0</v>
      </c>
      <c r="J10" s="786">
        <v>0</v>
      </c>
      <c r="K10" s="786">
        <v>0</v>
      </c>
      <c r="L10" s="786">
        <v>0</v>
      </c>
      <c r="M10" s="786">
        <v>0</v>
      </c>
      <c r="N10" s="786">
        <v>0</v>
      </c>
      <c r="O10" s="786">
        <v>0</v>
      </c>
      <c r="P10" s="786">
        <v>0</v>
      </c>
      <c r="Q10" s="787">
        <v>0</v>
      </c>
      <c r="R10" s="790">
        <f>SUM(C10:Q10)</f>
        <v>21207.451444444447</v>
      </c>
    </row>
    <row r="11" spans="2:18" ht="17.25" customHeight="1">
      <c r="B11" s="784" t="s">
        <v>312</v>
      </c>
      <c r="C11" s="785">
        <f>'En. elektryczna_2028'!D9</f>
        <v>9189.08</v>
      </c>
      <c r="D11" s="786">
        <f>'Ciepło sieciowe_2028'!D6*D67</f>
        <v>7777.8830000000007</v>
      </c>
      <c r="E11" s="786">
        <f>Gaz_2028!F9</f>
        <v>25572.258333333335</v>
      </c>
      <c r="F11" s="786">
        <v>0</v>
      </c>
      <c r="G11" s="786">
        <f>'Ciepło_gosp. dom._2020'!H9</f>
        <v>1526.4760895793847</v>
      </c>
      <c r="H11" s="786">
        <v>0</v>
      </c>
      <c r="I11" s="786">
        <v>0</v>
      </c>
      <c r="J11" s="786">
        <v>0</v>
      </c>
      <c r="K11" s="786">
        <f>'Ciepło_gosp. dom._2020'!H7</f>
        <v>28118.790118769914</v>
      </c>
      <c r="L11" s="786">
        <v>0</v>
      </c>
      <c r="M11" s="786">
        <v>0</v>
      </c>
      <c r="N11" s="786">
        <v>0</v>
      </c>
      <c r="O11" s="786">
        <f>'Ciepło_gosp. dom._2020'!H10</f>
        <v>5398.5884287839172</v>
      </c>
      <c r="P11" s="786">
        <v>0</v>
      </c>
      <c r="Q11" s="787">
        <v>0</v>
      </c>
      <c r="R11" s="790">
        <f>SUM(C11:Q11)</f>
        <v>77583.075970466554</v>
      </c>
    </row>
    <row r="12" spans="2:18" ht="17.25" customHeight="1">
      <c r="B12" s="784" t="s">
        <v>389</v>
      </c>
      <c r="C12" s="785">
        <f>'En. elektryczna_2028'!D11</f>
        <v>1282</v>
      </c>
      <c r="D12" s="786">
        <v>0</v>
      </c>
      <c r="E12" s="786">
        <v>0</v>
      </c>
      <c r="F12" s="786">
        <v>0</v>
      </c>
      <c r="G12" s="786">
        <v>0</v>
      </c>
      <c r="H12" s="786">
        <v>0</v>
      </c>
      <c r="I12" s="786">
        <v>0</v>
      </c>
      <c r="J12" s="786">
        <v>0</v>
      </c>
      <c r="K12" s="786">
        <v>0</v>
      </c>
      <c r="L12" s="786">
        <v>0</v>
      </c>
      <c r="M12" s="786">
        <v>0</v>
      </c>
      <c r="N12" s="786">
        <v>0</v>
      </c>
      <c r="O12" s="786">
        <v>0</v>
      </c>
      <c r="P12" s="786">
        <v>0</v>
      </c>
      <c r="Q12" s="787">
        <v>0</v>
      </c>
      <c r="R12" s="790">
        <f>SUM(C12:Q12)</f>
        <v>1282</v>
      </c>
    </row>
    <row r="13" spans="2:18" ht="33" customHeight="1" thickBot="1">
      <c r="B13" s="791" t="s">
        <v>470</v>
      </c>
      <c r="C13" s="785">
        <f>'En. elektryczna_2028'!D7</f>
        <v>5153.6499999999996</v>
      </c>
      <c r="D13" s="792">
        <v>0</v>
      </c>
      <c r="E13" s="793">
        <f>Gaz_2028!F7</f>
        <v>528.81909222222214</v>
      </c>
      <c r="F13" s="793">
        <v>0</v>
      </c>
      <c r="G13" s="793">
        <v>0</v>
      </c>
      <c r="H13" s="786">
        <v>0</v>
      </c>
      <c r="I13" s="786">
        <v>0</v>
      </c>
      <c r="J13" s="793">
        <v>0</v>
      </c>
      <c r="K13" s="794">
        <v>0</v>
      </c>
      <c r="L13" s="786">
        <v>0</v>
      </c>
      <c r="M13" s="786">
        <v>0</v>
      </c>
      <c r="N13" s="786">
        <v>0</v>
      </c>
      <c r="O13" s="786">
        <v>0</v>
      </c>
      <c r="P13" s="792">
        <v>0</v>
      </c>
      <c r="Q13" s="795">
        <v>0</v>
      </c>
      <c r="R13" s="796">
        <f>SUM(C13:Q13)</f>
        <v>5682.4690922222217</v>
      </c>
    </row>
    <row r="14" spans="2:18" ht="17.25" customHeight="1" thickBot="1">
      <c r="B14" s="797" t="s">
        <v>471</v>
      </c>
      <c r="C14" s="798">
        <f t="shared" ref="C14:R14" si="0">SUM(C9:C13)</f>
        <v>26271.14</v>
      </c>
      <c r="D14" s="799">
        <f>SUM(D9:D13)</f>
        <v>8716.9130000000005</v>
      </c>
      <c r="E14" s="799">
        <f t="shared" si="0"/>
        <v>46867.927626444442</v>
      </c>
      <c r="F14" s="799">
        <f t="shared" si="0"/>
        <v>0</v>
      </c>
      <c r="G14" s="799">
        <f t="shared" si="0"/>
        <v>1562.0761295793848</v>
      </c>
      <c r="H14" s="799">
        <f t="shared" si="0"/>
        <v>0</v>
      </c>
      <c r="I14" s="799">
        <f t="shared" si="0"/>
        <v>0</v>
      </c>
      <c r="J14" s="799">
        <f t="shared" si="0"/>
        <v>0</v>
      </c>
      <c r="K14" s="799">
        <f t="shared" si="0"/>
        <v>28299.615718769914</v>
      </c>
      <c r="L14" s="799">
        <f t="shared" si="0"/>
        <v>0</v>
      </c>
      <c r="M14" s="799">
        <f t="shared" si="0"/>
        <v>0</v>
      </c>
      <c r="N14" s="799">
        <f t="shared" si="0"/>
        <v>0</v>
      </c>
      <c r="O14" s="799">
        <f t="shared" si="0"/>
        <v>5398.5884287839172</v>
      </c>
      <c r="P14" s="799">
        <f t="shared" si="0"/>
        <v>0</v>
      </c>
      <c r="Q14" s="799">
        <f t="shared" si="0"/>
        <v>0</v>
      </c>
      <c r="R14" s="799">
        <f t="shared" si="0"/>
        <v>117116.26090357767</v>
      </c>
    </row>
    <row r="15" spans="2:18" ht="17.25" customHeight="1">
      <c r="B15" s="826" t="s">
        <v>384</v>
      </c>
      <c r="C15" s="1277"/>
      <c r="D15" s="1277"/>
      <c r="E15" s="1277"/>
      <c r="F15" s="1277"/>
      <c r="G15" s="1277"/>
      <c r="H15" s="1277"/>
      <c r="I15" s="1277"/>
      <c r="J15" s="1277"/>
      <c r="K15" s="1277"/>
      <c r="L15" s="1277"/>
      <c r="M15" s="1277"/>
      <c r="N15" s="1277"/>
      <c r="O15" s="1277"/>
      <c r="P15" s="1277"/>
      <c r="Q15" s="1278"/>
      <c r="R15" s="800"/>
    </row>
    <row r="16" spans="2:18" ht="17.25" customHeight="1">
      <c r="B16" s="784" t="s">
        <v>348</v>
      </c>
      <c r="C16" s="785">
        <v>0</v>
      </c>
      <c r="D16" s="785">
        <v>0</v>
      </c>
      <c r="E16" s="785">
        <v>0</v>
      </c>
      <c r="F16" s="786">
        <f>'Tabor gminny_2024'!E24</f>
        <v>38.299475318111988</v>
      </c>
      <c r="G16" s="786">
        <v>0</v>
      </c>
      <c r="H16" s="786">
        <f>'Tabor gminny_2024'!E23</f>
        <v>616.06264827189602</v>
      </c>
      <c r="I16" s="786">
        <f>'Tabor gminny_2020'!E22</f>
        <v>280.02800480255996</v>
      </c>
      <c r="J16" s="786">
        <v>0</v>
      </c>
      <c r="K16" s="786">
        <v>0</v>
      </c>
      <c r="L16" s="786">
        <v>0</v>
      </c>
      <c r="M16" s="786">
        <v>0</v>
      </c>
      <c r="N16" s="786">
        <v>0</v>
      </c>
      <c r="O16" s="786">
        <v>0</v>
      </c>
      <c r="P16" s="786">
        <v>0</v>
      </c>
      <c r="Q16" s="786">
        <v>0</v>
      </c>
      <c r="R16" s="785">
        <f>SUM(C16:Q16)</f>
        <v>934.39012839256793</v>
      </c>
    </row>
    <row r="17" spans="2:18" ht="17.25" customHeight="1">
      <c r="B17" s="784" t="s">
        <v>512</v>
      </c>
      <c r="C17" s="785">
        <v>0</v>
      </c>
      <c r="D17" s="785">
        <v>0</v>
      </c>
      <c r="E17" s="785">
        <v>0</v>
      </c>
      <c r="F17" s="786">
        <v>0</v>
      </c>
      <c r="G17" s="786">
        <v>0</v>
      </c>
      <c r="H17" s="786">
        <f>'Transport kom. autobusy_2024'!F14</f>
        <v>123.12312226200002</v>
      </c>
      <c r="I17" s="786">
        <f>'Transport kom. autobusy_2020'!L3</f>
        <v>0</v>
      </c>
      <c r="J17" s="786">
        <v>0</v>
      </c>
      <c r="K17" s="786">
        <v>0</v>
      </c>
      <c r="L17" s="786">
        <v>0</v>
      </c>
      <c r="M17" s="786">
        <v>0</v>
      </c>
      <c r="N17" s="786">
        <v>0</v>
      </c>
      <c r="O17" s="786">
        <v>0</v>
      </c>
      <c r="P17" s="786">
        <v>0</v>
      </c>
      <c r="Q17" s="786">
        <v>0</v>
      </c>
      <c r="R17" s="785">
        <f>SUM(C17:Q17)</f>
        <v>123.12312226200002</v>
      </c>
    </row>
    <row r="18" spans="2:18" ht="17.25" customHeight="1">
      <c r="B18" s="784" t="s">
        <v>356</v>
      </c>
      <c r="C18" s="785">
        <v>0</v>
      </c>
      <c r="D18" s="785">
        <v>0</v>
      </c>
      <c r="E18" s="785">
        <v>0</v>
      </c>
      <c r="F18" s="786">
        <f>'Transport prywatny_2024'!F18</f>
        <v>401.85127194248054</v>
      </c>
      <c r="G18" s="786">
        <v>0</v>
      </c>
      <c r="H18" s="786">
        <f>'Transport prywatny_2024'!F17</f>
        <v>31251.937539805833</v>
      </c>
      <c r="I18" s="786">
        <f>'Transport prywatny_2024'!F16</f>
        <v>7048.8504527339528</v>
      </c>
      <c r="J18" s="786">
        <v>0</v>
      </c>
      <c r="K18" s="786">
        <v>0</v>
      </c>
      <c r="L18" s="786">
        <v>0</v>
      </c>
      <c r="M18" s="786">
        <v>0</v>
      </c>
      <c r="N18" s="786">
        <v>0</v>
      </c>
      <c r="O18" s="786">
        <v>0</v>
      </c>
      <c r="P18" s="786">
        <v>0</v>
      </c>
      <c r="Q18" s="786">
        <v>0</v>
      </c>
      <c r="R18" s="785">
        <f>SUM(C18:Q18)</f>
        <v>38702.639264482263</v>
      </c>
    </row>
    <row r="19" spans="2:18" ht="17.25" customHeight="1">
      <c r="B19" s="784" t="s">
        <v>590</v>
      </c>
      <c r="C19" s="785">
        <v>0</v>
      </c>
      <c r="D19" s="785">
        <v>0</v>
      </c>
      <c r="E19" s="785">
        <v>0</v>
      </c>
      <c r="F19" s="786">
        <v>0</v>
      </c>
      <c r="G19" s="786">
        <v>0</v>
      </c>
      <c r="H19" s="786">
        <v>0</v>
      </c>
      <c r="I19" s="786">
        <v>0</v>
      </c>
      <c r="J19" s="786">
        <v>0</v>
      </c>
      <c r="K19" s="786">
        <v>0</v>
      </c>
      <c r="L19" s="786">
        <v>0</v>
      </c>
      <c r="M19" s="786">
        <v>0</v>
      </c>
      <c r="N19" s="786">
        <v>0</v>
      </c>
      <c r="O19" s="786">
        <v>0</v>
      </c>
      <c r="P19" s="786">
        <v>0</v>
      </c>
      <c r="Q19" s="786">
        <v>0</v>
      </c>
      <c r="R19" s="785">
        <v>0</v>
      </c>
    </row>
    <row r="20" spans="2:18" ht="17.25" customHeight="1">
      <c r="B20" s="784" t="s">
        <v>357</v>
      </c>
      <c r="C20" s="785">
        <v>0</v>
      </c>
      <c r="D20" s="785">
        <v>0</v>
      </c>
      <c r="E20" s="785">
        <v>0</v>
      </c>
      <c r="F20" s="786">
        <f>'Transport komercyjny_2024'!F18</f>
        <v>0</v>
      </c>
      <c r="G20" s="786">
        <v>0</v>
      </c>
      <c r="H20" s="786">
        <f>'Transport komercyjny_2024'!F17</f>
        <v>7135.8157159778957</v>
      </c>
      <c r="I20" s="786">
        <f>'Transport komercyjny_2024'!F16</f>
        <v>3174.333608506061</v>
      </c>
      <c r="J20" s="786">
        <v>0</v>
      </c>
      <c r="K20" s="786">
        <v>0</v>
      </c>
      <c r="L20" s="786">
        <v>0</v>
      </c>
      <c r="M20" s="786">
        <v>0</v>
      </c>
      <c r="N20" s="786">
        <v>0</v>
      </c>
      <c r="O20" s="786">
        <v>0</v>
      </c>
      <c r="P20" s="786">
        <v>0</v>
      </c>
      <c r="Q20" s="786">
        <v>0</v>
      </c>
      <c r="R20" s="785">
        <f>SUM(C20:Q20)</f>
        <v>10310.149324483957</v>
      </c>
    </row>
    <row r="21" spans="2:18" ht="17.25" customHeight="1" thickBot="1">
      <c r="B21" s="801" t="s">
        <v>472</v>
      </c>
      <c r="C21" s="802">
        <f t="shared" ref="C21:R21" si="1">SUM(C16:C20)</f>
        <v>0</v>
      </c>
      <c r="D21" s="803">
        <f t="shared" si="1"/>
        <v>0</v>
      </c>
      <c r="E21" s="803">
        <f t="shared" si="1"/>
        <v>0</v>
      </c>
      <c r="F21" s="803">
        <f t="shared" si="1"/>
        <v>440.15074726059254</v>
      </c>
      <c r="G21" s="803">
        <f t="shared" si="1"/>
        <v>0</v>
      </c>
      <c r="H21" s="803">
        <f t="shared" si="1"/>
        <v>39126.939026317625</v>
      </c>
      <c r="I21" s="803">
        <f t="shared" si="1"/>
        <v>10503.212066042573</v>
      </c>
      <c r="J21" s="803">
        <f t="shared" si="1"/>
        <v>0</v>
      </c>
      <c r="K21" s="803">
        <f t="shared" si="1"/>
        <v>0</v>
      </c>
      <c r="L21" s="803">
        <f t="shared" si="1"/>
        <v>0</v>
      </c>
      <c r="M21" s="803">
        <f t="shared" si="1"/>
        <v>0</v>
      </c>
      <c r="N21" s="803">
        <f t="shared" si="1"/>
        <v>0</v>
      </c>
      <c r="O21" s="803">
        <f t="shared" si="1"/>
        <v>0</v>
      </c>
      <c r="P21" s="803">
        <f t="shared" si="1"/>
        <v>0</v>
      </c>
      <c r="Q21" s="803">
        <f t="shared" si="1"/>
        <v>0</v>
      </c>
      <c r="R21" s="803">
        <f t="shared" si="1"/>
        <v>50070.301839620792</v>
      </c>
    </row>
    <row r="22" spans="2:18" ht="17.25" customHeight="1" thickTop="1" thickBot="1">
      <c r="B22" s="827" t="s">
        <v>379</v>
      </c>
      <c r="C22" s="804">
        <f t="shared" ref="C22:Q22" si="2">C21+C14</f>
        <v>26271.14</v>
      </c>
      <c r="D22" s="805">
        <f t="shared" si="2"/>
        <v>8716.9130000000005</v>
      </c>
      <c r="E22" s="805">
        <f t="shared" si="2"/>
        <v>46867.927626444442</v>
      </c>
      <c r="F22" s="805">
        <f t="shared" si="2"/>
        <v>440.15074726059254</v>
      </c>
      <c r="G22" s="805">
        <f t="shared" si="2"/>
        <v>1562.0761295793848</v>
      </c>
      <c r="H22" s="805">
        <f t="shared" si="2"/>
        <v>39126.939026317625</v>
      </c>
      <c r="I22" s="805">
        <f t="shared" si="2"/>
        <v>10503.212066042573</v>
      </c>
      <c r="J22" s="805">
        <f t="shared" si="2"/>
        <v>0</v>
      </c>
      <c r="K22" s="805">
        <f t="shared" si="2"/>
        <v>28299.615718769914</v>
      </c>
      <c r="L22" s="805">
        <f t="shared" si="2"/>
        <v>0</v>
      </c>
      <c r="M22" s="805">
        <f t="shared" si="2"/>
        <v>0</v>
      </c>
      <c r="N22" s="805">
        <f t="shared" si="2"/>
        <v>0</v>
      </c>
      <c r="O22" s="805">
        <f t="shared" si="2"/>
        <v>5398.5884287839172</v>
      </c>
      <c r="P22" s="805">
        <f t="shared" si="2"/>
        <v>0</v>
      </c>
      <c r="Q22" s="805">
        <f t="shared" si="2"/>
        <v>0</v>
      </c>
      <c r="R22" s="805">
        <f>R21+R14</f>
        <v>167186.56274319848</v>
      </c>
    </row>
    <row r="23" spans="2:18" ht="17.25" customHeight="1" thickBot="1"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</row>
    <row r="24" spans="2:18" ht="33" customHeight="1" thickTop="1" thickBot="1">
      <c r="B24" s="1284" t="s">
        <v>376</v>
      </c>
      <c r="C24" s="1287" t="s">
        <v>751</v>
      </c>
      <c r="D24" s="1288"/>
      <c r="E24" s="1288"/>
      <c r="F24" s="1288"/>
      <c r="G24" s="1288"/>
      <c r="H24" s="1288"/>
      <c r="I24" s="1288"/>
      <c r="J24" s="1288"/>
      <c r="K24" s="1288"/>
      <c r="L24" s="1288"/>
      <c r="M24" s="1288"/>
      <c r="N24" s="1288"/>
      <c r="O24" s="1288"/>
      <c r="P24" s="1288"/>
      <c r="Q24" s="1288"/>
      <c r="R24" s="1289"/>
    </row>
    <row r="25" spans="2:18" ht="21" customHeight="1" thickTop="1">
      <c r="B25" s="1285"/>
      <c r="C25" s="1290" t="s">
        <v>113</v>
      </c>
      <c r="D25" s="1292" t="s">
        <v>60</v>
      </c>
      <c r="E25" s="1294" t="s">
        <v>377</v>
      </c>
      <c r="F25" s="1295"/>
      <c r="G25" s="1295"/>
      <c r="H25" s="1295"/>
      <c r="I25" s="1295"/>
      <c r="J25" s="1295"/>
      <c r="K25" s="1295"/>
      <c r="L25" s="1296"/>
      <c r="M25" s="1294" t="s">
        <v>378</v>
      </c>
      <c r="N25" s="1295"/>
      <c r="O25" s="1295"/>
      <c r="P25" s="1295"/>
      <c r="Q25" s="1297"/>
      <c r="R25" s="1298" t="s">
        <v>379</v>
      </c>
    </row>
    <row r="26" spans="2:18" ht="50.25" thickBot="1">
      <c r="B26" s="1286"/>
      <c r="C26" s="1291"/>
      <c r="D26" s="1293"/>
      <c r="E26" s="778" t="s">
        <v>458</v>
      </c>
      <c r="F26" s="778" t="s">
        <v>380</v>
      </c>
      <c r="G26" s="779" t="s">
        <v>59</v>
      </c>
      <c r="H26" s="778" t="s">
        <v>81</v>
      </c>
      <c r="I26" s="778" t="s">
        <v>19</v>
      </c>
      <c r="J26" s="778" t="s">
        <v>459</v>
      </c>
      <c r="K26" s="780" t="s">
        <v>460</v>
      </c>
      <c r="L26" s="780" t="s">
        <v>461</v>
      </c>
      <c r="M26" s="779" t="s">
        <v>462</v>
      </c>
      <c r="N26" s="781" t="s">
        <v>463</v>
      </c>
      <c r="O26" s="781" t="s">
        <v>464</v>
      </c>
      <c r="P26" s="781" t="s">
        <v>465</v>
      </c>
      <c r="Q26" s="782" t="s">
        <v>466</v>
      </c>
      <c r="R26" s="1299"/>
    </row>
    <row r="27" spans="2:18" ht="17.25" thickTop="1">
      <c r="B27" s="825" t="s">
        <v>467</v>
      </c>
      <c r="C27" s="1275" t="s">
        <v>381</v>
      </c>
      <c r="D27" s="1275"/>
      <c r="E27" s="1275"/>
      <c r="F27" s="1275"/>
      <c r="G27" s="1275"/>
      <c r="H27" s="1275"/>
      <c r="I27" s="1275"/>
      <c r="J27" s="1275"/>
      <c r="K27" s="1275"/>
      <c r="L27" s="1275"/>
      <c r="M27" s="1275"/>
      <c r="N27" s="1275"/>
      <c r="O27" s="1275"/>
      <c r="P27" s="1275"/>
      <c r="Q27" s="1276"/>
      <c r="R27" s="783"/>
    </row>
    <row r="28" spans="2:18">
      <c r="B28" s="784" t="s">
        <v>468</v>
      </c>
      <c r="C28" s="785">
        <f>'En. elektryczna_2028'!D18</f>
        <v>1922.7650000000001</v>
      </c>
      <c r="D28" s="786">
        <f>'Ciepło sieciowe_2028'!D13*0.277</f>
        <v>2920.2508737999997</v>
      </c>
      <c r="E28" s="786">
        <f>Gaz_2028!F18</f>
        <v>13926.495986845111</v>
      </c>
      <c r="F28" s="786">
        <v>0</v>
      </c>
      <c r="G28" s="786">
        <v>0</v>
      </c>
      <c r="H28" s="786">
        <v>0</v>
      </c>
      <c r="I28" s="786">
        <v>0</v>
      </c>
      <c r="J28" s="786">
        <v>0</v>
      </c>
      <c r="K28" s="786">
        <f>'Budynki komunalne_2014'!H8</f>
        <v>180.82560000000001</v>
      </c>
      <c r="L28" s="786">
        <v>0</v>
      </c>
      <c r="M28" s="786">
        <v>0</v>
      </c>
      <c r="N28" s="786">
        <v>0</v>
      </c>
      <c r="O28" s="786">
        <v>0</v>
      </c>
      <c r="P28" s="786">
        <v>0</v>
      </c>
      <c r="Q28" s="787">
        <v>0</v>
      </c>
      <c r="R28" s="788">
        <f>SUM(C28:Q28)</f>
        <v>18950.337460645111</v>
      </c>
    </row>
    <row r="29" spans="2:18">
      <c r="B29" s="789" t="s">
        <v>469</v>
      </c>
      <c r="C29" s="785">
        <f>'En. elektryczna_2028'!D16</f>
        <v>10353.9</v>
      </c>
      <c r="D29" s="786">
        <f>'Ciepło sieciowe_2028'!D14*D67</f>
        <v>96.95</v>
      </c>
      <c r="E29" s="786">
        <f>Gaz_2028!F16</f>
        <v>28193.196446488204</v>
      </c>
      <c r="F29" s="786">
        <v>0</v>
      </c>
      <c r="G29" s="786">
        <f>'Budynki niekomunalne_2024'!H12</f>
        <v>35.600040000000007</v>
      </c>
      <c r="H29" s="786">
        <v>0</v>
      </c>
      <c r="I29" s="786">
        <v>0</v>
      </c>
      <c r="J29" s="786">
        <v>0</v>
      </c>
      <c r="K29" s="786">
        <v>0</v>
      </c>
      <c r="L29" s="786">
        <v>0</v>
      </c>
      <c r="M29" s="786">
        <v>0</v>
      </c>
      <c r="N29" s="786">
        <v>0</v>
      </c>
      <c r="O29" s="786">
        <v>0</v>
      </c>
      <c r="P29" s="786">
        <v>0</v>
      </c>
      <c r="Q29" s="787">
        <v>0</v>
      </c>
      <c r="R29" s="790">
        <f>SUM(C29:Q29)</f>
        <v>38679.6464864882</v>
      </c>
    </row>
    <row r="30" spans="2:18">
      <c r="B30" s="784" t="s">
        <v>312</v>
      </c>
      <c r="C30" s="785">
        <f>'En. elektryczna_2028'!D17</f>
        <v>10360.395769305962</v>
      </c>
      <c r="D30" s="786">
        <f>'Ciepło sieciowe_2028'!D12*D67</f>
        <v>7777.8830000000007</v>
      </c>
      <c r="E30" s="786">
        <f>Gaz_2028!F17</f>
        <v>36260.800000000003</v>
      </c>
      <c r="F30" s="786">
        <v>0</v>
      </c>
      <c r="G30" s="786">
        <f>'Ciepło_gosp. dom._2024'!H18</f>
        <v>657.39280307044169</v>
      </c>
      <c r="H30" s="786">
        <v>0</v>
      </c>
      <c r="I30" s="786">
        <v>0</v>
      </c>
      <c r="J30" s="786">
        <v>0</v>
      </c>
      <c r="K30" s="786">
        <f>'Ciepło_gosp. dom._2024'!H16</f>
        <v>15918.637919342891</v>
      </c>
      <c r="L30" s="786">
        <v>0</v>
      </c>
      <c r="M30" s="786">
        <v>0</v>
      </c>
      <c r="N30" s="786">
        <v>0</v>
      </c>
      <c r="O30" s="786">
        <f>'Ciepło_gosp. dom._2024'!H19</f>
        <v>9583.2413846727395</v>
      </c>
      <c r="P30" s="786">
        <v>0</v>
      </c>
      <c r="Q30" s="787">
        <v>0</v>
      </c>
      <c r="R30" s="790">
        <f>SUM(C30:Q30)</f>
        <v>80558.35087639204</v>
      </c>
    </row>
    <row r="31" spans="2:18">
      <c r="B31" s="784" t="s">
        <v>389</v>
      </c>
      <c r="C31" s="785">
        <f>'En. elektryczna_2028'!D19</f>
        <v>703.11</v>
      </c>
      <c r="D31" s="786">
        <v>0</v>
      </c>
      <c r="E31" s="786">
        <v>0</v>
      </c>
      <c r="F31" s="786">
        <v>0</v>
      </c>
      <c r="G31" s="786">
        <v>0</v>
      </c>
      <c r="H31" s="786">
        <v>0</v>
      </c>
      <c r="I31" s="786">
        <v>0</v>
      </c>
      <c r="J31" s="786">
        <v>0</v>
      </c>
      <c r="K31" s="786">
        <v>0</v>
      </c>
      <c r="L31" s="786">
        <v>0</v>
      </c>
      <c r="M31" s="786">
        <v>0</v>
      </c>
      <c r="N31" s="786">
        <v>0</v>
      </c>
      <c r="O31" s="786">
        <v>0</v>
      </c>
      <c r="P31" s="786">
        <v>0</v>
      </c>
      <c r="Q31" s="787">
        <v>0</v>
      </c>
      <c r="R31" s="790">
        <f>SUM(C31:Q31)</f>
        <v>703.11</v>
      </c>
    </row>
    <row r="32" spans="2:18" ht="33.75" thickBot="1">
      <c r="B32" s="791" t="s">
        <v>470</v>
      </c>
      <c r="C32" s="794">
        <f>'En. elektryczna_2028'!D15</f>
        <v>5213.1690557065212</v>
      </c>
      <c r="D32" s="792">
        <v>0</v>
      </c>
      <c r="E32" s="793">
        <f>Gaz_2028!F15</f>
        <v>8175.8</v>
      </c>
      <c r="F32" s="793">
        <v>0</v>
      </c>
      <c r="G32" s="793">
        <f>Charakterystyka_2028!$D$129</f>
        <v>0.41165876337075014</v>
      </c>
      <c r="H32" s="786">
        <f>Charakterystyka_2028!D135</f>
        <v>2015.9347816075297</v>
      </c>
      <c r="I32" s="786">
        <f>Charakterystyka_2028!C135</f>
        <v>174.697881344</v>
      </c>
      <c r="J32" s="793">
        <v>0</v>
      </c>
      <c r="K32" s="794">
        <f>Charakterystyka_2028!E129</f>
        <v>801.47180000000014</v>
      </c>
      <c r="L32" s="786">
        <v>0</v>
      </c>
      <c r="M32" s="786">
        <v>0</v>
      </c>
      <c r="N32" s="786">
        <v>0</v>
      </c>
      <c r="O32" s="786">
        <v>0</v>
      </c>
      <c r="P32" s="792">
        <v>0</v>
      </c>
      <c r="Q32" s="795">
        <v>0</v>
      </c>
      <c r="R32" s="796">
        <f>SUM(C32:Q32)</f>
        <v>16381.485177421422</v>
      </c>
    </row>
    <row r="33" spans="2:21" ht="17.25" thickBot="1">
      <c r="B33" s="797" t="s">
        <v>471</v>
      </c>
      <c r="C33" s="798">
        <f t="shared" ref="C33:R33" si="3">SUM(C28:C32)</f>
        <v>28553.339825012481</v>
      </c>
      <c r="D33" s="799">
        <f>SUM(D28:D32)</f>
        <v>10795.0838738</v>
      </c>
      <c r="E33" s="799">
        <f t="shared" si="3"/>
        <v>86556.292433333321</v>
      </c>
      <c r="F33" s="799">
        <f t="shared" si="3"/>
        <v>0</v>
      </c>
      <c r="G33" s="799">
        <f t="shared" si="3"/>
        <v>693.40450183381245</v>
      </c>
      <c r="H33" s="799">
        <f t="shared" si="3"/>
        <v>2015.9347816075297</v>
      </c>
      <c r="I33" s="799">
        <f t="shared" si="3"/>
        <v>174.697881344</v>
      </c>
      <c r="J33" s="799">
        <f t="shared" si="3"/>
        <v>0</v>
      </c>
      <c r="K33" s="799">
        <f t="shared" si="3"/>
        <v>16900.935319342891</v>
      </c>
      <c r="L33" s="799">
        <f t="shared" si="3"/>
        <v>0</v>
      </c>
      <c r="M33" s="799">
        <f t="shared" si="3"/>
        <v>0</v>
      </c>
      <c r="N33" s="799">
        <f t="shared" si="3"/>
        <v>0</v>
      </c>
      <c r="O33" s="799">
        <f t="shared" si="3"/>
        <v>9583.2413846727395</v>
      </c>
      <c r="P33" s="799">
        <f t="shared" si="3"/>
        <v>0</v>
      </c>
      <c r="Q33" s="799">
        <f t="shared" si="3"/>
        <v>0</v>
      </c>
      <c r="R33" s="799">
        <f t="shared" si="3"/>
        <v>155272.93000094674</v>
      </c>
    </row>
    <row r="34" spans="2:21">
      <c r="B34" s="826" t="s">
        <v>384</v>
      </c>
      <c r="C34" s="1277"/>
      <c r="D34" s="1277"/>
      <c r="E34" s="1277"/>
      <c r="F34" s="1277"/>
      <c r="G34" s="1277"/>
      <c r="H34" s="1277"/>
      <c r="I34" s="1277"/>
      <c r="J34" s="1277"/>
      <c r="K34" s="1277"/>
      <c r="L34" s="1277"/>
      <c r="M34" s="1277"/>
      <c r="N34" s="1277"/>
      <c r="O34" s="1277"/>
      <c r="P34" s="1277"/>
      <c r="Q34" s="1278"/>
      <c r="R34" s="800"/>
    </row>
    <row r="35" spans="2:21">
      <c r="B35" s="784" t="s">
        <v>348</v>
      </c>
      <c r="C35" s="785">
        <v>0</v>
      </c>
      <c r="D35" s="785">
        <v>0</v>
      </c>
      <c r="E35" s="785">
        <v>0</v>
      </c>
      <c r="F35" s="786">
        <f>'Tabor gminny_2024'!E49</f>
        <v>38.299475318111988</v>
      </c>
      <c r="G35" s="786">
        <v>0</v>
      </c>
      <c r="H35" s="786">
        <f>'Tabor gminny_2024'!E48</f>
        <v>616.06264827189602</v>
      </c>
      <c r="I35" s="786">
        <f>'Tabor gminny_2020'!E47</f>
        <v>280.02800480255996</v>
      </c>
      <c r="J35" s="786">
        <v>0</v>
      </c>
      <c r="K35" s="786">
        <v>0</v>
      </c>
      <c r="L35" s="786">
        <v>0</v>
      </c>
      <c r="M35" s="786">
        <v>0</v>
      </c>
      <c r="N35" s="786">
        <v>0</v>
      </c>
      <c r="O35" s="786">
        <v>0</v>
      </c>
      <c r="P35" s="786">
        <v>0</v>
      </c>
      <c r="Q35" s="786">
        <v>0</v>
      </c>
      <c r="R35" s="785">
        <f>SUM(C35:Q35)</f>
        <v>934.39012839256793</v>
      </c>
    </row>
    <row r="36" spans="2:21">
      <c r="B36" s="784" t="s">
        <v>512</v>
      </c>
      <c r="C36" s="785">
        <v>0</v>
      </c>
      <c r="D36" s="785">
        <v>0</v>
      </c>
      <c r="E36" s="785">
        <v>0</v>
      </c>
      <c r="F36" s="786">
        <v>0</v>
      </c>
      <c r="G36" s="786">
        <v>0</v>
      </c>
      <c r="H36" s="786">
        <f>'Transport kom. autobusy_2024'!F26</f>
        <v>123.12312226200002</v>
      </c>
      <c r="I36" s="786">
        <f>'Transport kom. autobusy_2020'!L3</f>
        <v>0</v>
      </c>
      <c r="J36" s="786">
        <v>0</v>
      </c>
      <c r="K36" s="786">
        <v>0</v>
      </c>
      <c r="L36" s="786">
        <v>0</v>
      </c>
      <c r="M36" s="786">
        <v>0</v>
      </c>
      <c r="N36" s="786">
        <v>0</v>
      </c>
      <c r="O36" s="786">
        <v>0</v>
      </c>
      <c r="P36" s="786">
        <v>0</v>
      </c>
      <c r="Q36" s="786">
        <v>0</v>
      </c>
      <c r="R36" s="785">
        <f>SUM(C36:Q36)</f>
        <v>123.12312226200002</v>
      </c>
    </row>
    <row r="37" spans="2:21">
      <c r="B37" s="784" t="s">
        <v>356</v>
      </c>
      <c r="C37" s="785">
        <v>0</v>
      </c>
      <c r="D37" s="785">
        <v>0</v>
      </c>
      <c r="E37" s="785">
        <v>0</v>
      </c>
      <c r="F37" s="786">
        <f>'Transport prywatny_2024'!F37</f>
        <v>10478.461468386946</v>
      </c>
      <c r="G37" s="786">
        <v>0</v>
      </c>
      <c r="H37" s="786">
        <f>'Transport prywatny_2024'!F36</f>
        <v>18531.173065650579</v>
      </c>
      <c r="I37" s="786">
        <f>'Transport prywatny_2024'!F35</f>
        <v>15405.993988457474</v>
      </c>
      <c r="J37" s="786">
        <v>0</v>
      </c>
      <c r="K37" s="786">
        <v>0</v>
      </c>
      <c r="L37" s="786">
        <v>0</v>
      </c>
      <c r="M37" s="786">
        <v>0</v>
      </c>
      <c r="N37" s="786">
        <v>0</v>
      </c>
      <c r="O37" s="786">
        <v>0</v>
      </c>
      <c r="P37" s="786">
        <v>0</v>
      </c>
      <c r="Q37" s="786">
        <v>0</v>
      </c>
      <c r="R37" s="785">
        <f>SUM(C37:Q37)</f>
        <v>44415.628522494997</v>
      </c>
    </row>
    <row r="38" spans="2:21">
      <c r="B38" s="784" t="s">
        <v>590</v>
      </c>
      <c r="C38" s="785">
        <v>0</v>
      </c>
      <c r="D38" s="785">
        <v>0</v>
      </c>
      <c r="E38" s="785">
        <v>0</v>
      </c>
      <c r="F38" s="786">
        <v>0</v>
      </c>
      <c r="G38" s="786">
        <v>0</v>
      </c>
      <c r="H38" s="786">
        <v>0</v>
      </c>
      <c r="I38" s="786">
        <v>0</v>
      </c>
      <c r="J38" s="786">
        <v>0</v>
      </c>
      <c r="K38" s="786">
        <v>0</v>
      </c>
      <c r="L38" s="786">
        <v>0</v>
      </c>
      <c r="M38" s="786">
        <v>0</v>
      </c>
      <c r="N38" s="786">
        <v>0</v>
      </c>
      <c r="O38" s="786">
        <v>0</v>
      </c>
      <c r="P38" s="786">
        <v>0</v>
      </c>
      <c r="Q38" s="786">
        <v>0</v>
      </c>
      <c r="R38" s="785">
        <v>0</v>
      </c>
    </row>
    <row r="39" spans="2:21">
      <c r="B39" s="784" t="s">
        <v>357</v>
      </c>
      <c r="C39" s="785">
        <v>0</v>
      </c>
      <c r="D39" s="785">
        <v>0</v>
      </c>
      <c r="E39" s="785">
        <v>0</v>
      </c>
      <c r="F39" s="786">
        <f>'Transport komercyjny_2024'!F33</f>
        <v>461.0082277593001</v>
      </c>
      <c r="G39" s="786">
        <v>0</v>
      </c>
      <c r="H39" s="786">
        <f>'Transport komercyjny_2024'!F32</f>
        <v>9545.1296000784641</v>
      </c>
      <c r="I39" s="786">
        <f>'Transport komercyjny_2024'!F31</f>
        <v>3998.9131370985033</v>
      </c>
      <c r="J39" s="786">
        <v>0</v>
      </c>
      <c r="K39" s="786">
        <v>0</v>
      </c>
      <c r="L39" s="786">
        <v>0</v>
      </c>
      <c r="M39" s="786">
        <v>0</v>
      </c>
      <c r="N39" s="786">
        <v>0</v>
      </c>
      <c r="O39" s="786">
        <v>0</v>
      </c>
      <c r="P39" s="786">
        <v>0</v>
      </c>
      <c r="Q39" s="786">
        <v>0</v>
      </c>
      <c r="R39" s="785">
        <f>SUM(C39:Q39)</f>
        <v>14005.050964936267</v>
      </c>
    </row>
    <row r="40" spans="2:21" ht="17.25" thickBot="1">
      <c r="B40" s="801" t="s">
        <v>472</v>
      </c>
      <c r="C40" s="802">
        <f t="shared" ref="C40:R40" si="4">SUM(C35:C39)</f>
        <v>0</v>
      </c>
      <c r="D40" s="803">
        <f t="shared" si="4"/>
        <v>0</v>
      </c>
      <c r="E40" s="803">
        <f t="shared" si="4"/>
        <v>0</v>
      </c>
      <c r="F40" s="803">
        <f t="shared" si="4"/>
        <v>10977.769171464359</v>
      </c>
      <c r="G40" s="803">
        <f t="shared" si="4"/>
        <v>0</v>
      </c>
      <c r="H40" s="803">
        <f t="shared" si="4"/>
        <v>28815.488436262938</v>
      </c>
      <c r="I40" s="803">
        <f t="shared" si="4"/>
        <v>19684.935130358535</v>
      </c>
      <c r="J40" s="803">
        <f t="shared" si="4"/>
        <v>0</v>
      </c>
      <c r="K40" s="803">
        <f t="shared" si="4"/>
        <v>0</v>
      </c>
      <c r="L40" s="803">
        <f t="shared" si="4"/>
        <v>0</v>
      </c>
      <c r="M40" s="803">
        <f t="shared" si="4"/>
        <v>0</v>
      </c>
      <c r="N40" s="803">
        <f t="shared" si="4"/>
        <v>0</v>
      </c>
      <c r="O40" s="803">
        <f t="shared" si="4"/>
        <v>0</v>
      </c>
      <c r="P40" s="803">
        <f t="shared" si="4"/>
        <v>0</v>
      </c>
      <c r="Q40" s="803">
        <f t="shared" si="4"/>
        <v>0</v>
      </c>
      <c r="R40" s="803">
        <f t="shared" si="4"/>
        <v>59478.192738085832</v>
      </c>
    </row>
    <row r="41" spans="2:21" ht="17.25" customHeight="1" thickTop="1" thickBot="1">
      <c r="B41" s="827" t="s">
        <v>379</v>
      </c>
      <c r="C41" s="804">
        <f t="shared" ref="C41:Q41" si="5">C40+C33</f>
        <v>28553.339825012481</v>
      </c>
      <c r="D41" s="805">
        <f t="shared" si="5"/>
        <v>10795.0838738</v>
      </c>
      <c r="E41" s="805">
        <f t="shared" si="5"/>
        <v>86556.292433333321</v>
      </c>
      <c r="F41" s="805">
        <f t="shared" si="5"/>
        <v>10977.769171464359</v>
      </c>
      <c r="G41" s="805">
        <f t="shared" si="5"/>
        <v>693.40450183381245</v>
      </c>
      <c r="H41" s="805">
        <f t="shared" si="5"/>
        <v>30831.42321787047</v>
      </c>
      <c r="I41" s="805">
        <f t="shared" si="5"/>
        <v>19859.633011702535</v>
      </c>
      <c r="J41" s="805">
        <f t="shared" si="5"/>
        <v>0</v>
      </c>
      <c r="K41" s="805">
        <f t="shared" si="5"/>
        <v>16900.935319342891</v>
      </c>
      <c r="L41" s="805">
        <f t="shared" si="5"/>
        <v>0</v>
      </c>
      <c r="M41" s="805">
        <f t="shared" si="5"/>
        <v>0</v>
      </c>
      <c r="N41" s="805">
        <f t="shared" si="5"/>
        <v>0</v>
      </c>
      <c r="O41" s="805">
        <f t="shared" si="5"/>
        <v>9583.2413846727395</v>
      </c>
      <c r="P41" s="805">
        <f t="shared" si="5"/>
        <v>0</v>
      </c>
      <c r="Q41" s="805">
        <f t="shared" si="5"/>
        <v>0</v>
      </c>
      <c r="R41" s="805">
        <f>R40+R33</f>
        <v>214751.12273903258</v>
      </c>
    </row>
    <row r="42" spans="2:21" ht="14.25" customHeight="1">
      <c r="B42" s="828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06"/>
    </row>
    <row r="43" spans="2:21" ht="14.25" customHeight="1" thickBot="1">
      <c r="B43" s="828"/>
      <c r="C43" s="806"/>
      <c r="D43" s="806"/>
      <c r="E43" s="806"/>
      <c r="F43" s="806"/>
      <c r="G43" s="806"/>
      <c r="H43" s="806"/>
      <c r="I43" s="806"/>
      <c r="J43" s="806"/>
      <c r="K43" s="806"/>
      <c r="L43" s="806"/>
      <c r="M43" s="806"/>
      <c r="N43" s="806"/>
      <c r="O43" s="806"/>
      <c r="P43" s="806"/>
      <c r="Q43" s="806"/>
      <c r="R43" s="806"/>
    </row>
    <row r="44" spans="2:21" ht="30.75" customHeight="1" thickTop="1" thickBot="1">
      <c r="B44" s="1284" t="s">
        <v>376</v>
      </c>
      <c r="C44" s="1287" t="s">
        <v>748</v>
      </c>
      <c r="D44" s="1288"/>
      <c r="E44" s="1288"/>
      <c r="F44" s="1288"/>
      <c r="G44" s="1288"/>
      <c r="H44" s="1288"/>
      <c r="I44" s="1288"/>
      <c r="J44" s="1288"/>
      <c r="K44" s="1288"/>
      <c r="L44" s="1288"/>
      <c r="M44" s="1288"/>
      <c r="N44" s="1288"/>
      <c r="O44" s="1288"/>
      <c r="P44" s="1288"/>
      <c r="Q44" s="1288"/>
      <c r="R44" s="1289"/>
    </row>
    <row r="45" spans="2:21" ht="20.25" customHeight="1" thickTop="1">
      <c r="B45" s="1285"/>
      <c r="C45" s="1290" t="s">
        <v>113</v>
      </c>
      <c r="D45" s="1292" t="s">
        <v>60</v>
      </c>
      <c r="E45" s="1294" t="s">
        <v>377</v>
      </c>
      <c r="F45" s="1295"/>
      <c r="G45" s="1295"/>
      <c r="H45" s="1295"/>
      <c r="I45" s="1295"/>
      <c r="J45" s="1295"/>
      <c r="K45" s="1295"/>
      <c r="L45" s="1296"/>
      <c r="M45" s="1294" t="s">
        <v>378</v>
      </c>
      <c r="N45" s="1295"/>
      <c r="O45" s="1295"/>
      <c r="P45" s="1295"/>
      <c r="Q45" s="1297"/>
      <c r="R45" s="1298" t="s">
        <v>379</v>
      </c>
    </row>
    <row r="46" spans="2:21" ht="30" customHeight="1" thickBot="1">
      <c r="B46" s="1286"/>
      <c r="C46" s="1291"/>
      <c r="D46" s="1293"/>
      <c r="E46" s="778" t="s">
        <v>458</v>
      </c>
      <c r="F46" s="778" t="s">
        <v>380</v>
      </c>
      <c r="G46" s="779" t="s">
        <v>59</v>
      </c>
      <c r="H46" s="778" t="s">
        <v>81</v>
      </c>
      <c r="I46" s="778" t="s">
        <v>19</v>
      </c>
      <c r="J46" s="778" t="s">
        <v>459</v>
      </c>
      <c r="K46" s="780" t="s">
        <v>460</v>
      </c>
      <c r="L46" s="780" t="s">
        <v>461</v>
      </c>
      <c r="M46" s="779" t="s">
        <v>462</v>
      </c>
      <c r="N46" s="781" t="s">
        <v>463</v>
      </c>
      <c r="O46" s="781" t="s">
        <v>464</v>
      </c>
      <c r="P46" s="781" t="s">
        <v>465</v>
      </c>
      <c r="Q46" s="782" t="s">
        <v>466</v>
      </c>
      <c r="R46" s="1299"/>
    </row>
    <row r="47" spans="2:21" ht="14.25" customHeight="1" thickTop="1">
      <c r="B47" s="825" t="s">
        <v>467</v>
      </c>
      <c r="C47" s="1275" t="s">
        <v>381</v>
      </c>
      <c r="D47" s="1275"/>
      <c r="E47" s="1275"/>
      <c r="F47" s="1275"/>
      <c r="G47" s="1275"/>
      <c r="H47" s="1275"/>
      <c r="I47" s="1275"/>
      <c r="J47" s="1275"/>
      <c r="K47" s="1275"/>
      <c r="L47" s="1275"/>
      <c r="M47" s="1275"/>
      <c r="N47" s="1275"/>
      <c r="O47" s="1275"/>
      <c r="P47" s="1275"/>
      <c r="Q47" s="1276"/>
      <c r="R47" s="783"/>
    </row>
    <row r="48" spans="2:21" ht="15.75" customHeight="1">
      <c r="B48" s="784" t="s">
        <v>468</v>
      </c>
      <c r="C48" s="807">
        <f>'En. elektryczna_2028'!D26</f>
        <v>257.88035264483625</v>
      </c>
      <c r="D48" s="808">
        <f>'Ciepło sieciowe_2028'!D19*0.277</f>
        <v>3465.2700000000004</v>
      </c>
      <c r="E48" s="808">
        <f>Gaz_2028!F27</f>
        <v>10045.848796444445</v>
      </c>
      <c r="F48" s="808">
        <v>0</v>
      </c>
      <c r="G48" s="808">
        <v>0</v>
      </c>
      <c r="H48" s="808">
        <v>0</v>
      </c>
      <c r="I48" s="808">
        <v>0</v>
      </c>
      <c r="J48" s="808">
        <f>J28</f>
        <v>0</v>
      </c>
      <c r="K48" s="808">
        <f>K28</f>
        <v>180.82560000000001</v>
      </c>
      <c r="L48" s="808">
        <v>0</v>
      </c>
      <c r="M48" s="808">
        <v>0</v>
      </c>
      <c r="N48" s="808">
        <v>0</v>
      </c>
      <c r="O48" s="808">
        <v>0</v>
      </c>
      <c r="P48" s="808">
        <v>0</v>
      </c>
      <c r="Q48" s="809">
        <v>0</v>
      </c>
      <c r="R48" s="989">
        <f>SUM(C48:Q48)</f>
        <v>13949.824749089283</v>
      </c>
      <c r="U48" s="810"/>
    </row>
    <row r="49" spans="2:18" ht="15.75" customHeight="1">
      <c r="B49" s="789" t="s">
        <v>469</v>
      </c>
      <c r="C49" s="807">
        <f>'En. elektryczna_2028'!D24</f>
        <v>9128.1234256926946</v>
      </c>
      <c r="D49" s="808">
        <f>'Ciepło sieciowe_2028'!D20*0.277</f>
        <v>77.006</v>
      </c>
      <c r="E49" s="808">
        <f>Gaz_2028!F25</f>
        <v>25091.891732841734</v>
      </c>
      <c r="F49" s="808">
        <v>0</v>
      </c>
      <c r="G49" s="808">
        <f>G29</f>
        <v>35.600040000000007</v>
      </c>
      <c r="H49" s="808">
        <v>0</v>
      </c>
      <c r="I49" s="808">
        <v>0</v>
      </c>
      <c r="J49" s="808">
        <f>J29</f>
        <v>0</v>
      </c>
      <c r="K49" s="808">
        <v>0</v>
      </c>
      <c r="L49" s="808">
        <v>0</v>
      </c>
      <c r="M49" s="808">
        <v>0</v>
      </c>
      <c r="N49" s="808">
        <v>0</v>
      </c>
      <c r="O49" s="808">
        <v>0</v>
      </c>
      <c r="P49" s="808">
        <v>0</v>
      </c>
      <c r="Q49" s="809">
        <v>0</v>
      </c>
      <c r="R49" s="990">
        <f>SUM(C49:Q49)</f>
        <v>34332.621198534427</v>
      </c>
    </row>
    <row r="50" spans="2:18" ht="15.75" customHeight="1">
      <c r="B50" s="784" t="s">
        <v>312</v>
      </c>
      <c r="C50" s="807">
        <f>'En. elektryczna_2028'!D25</f>
        <v>8101.2040302267005</v>
      </c>
      <c r="D50" s="808">
        <f>'Ciepło sieciowe_2028'!D18*0.277</f>
        <v>9229.9170000000013</v>
      </c>
      <c r="E50" s="808">
        <f>Gaz_2028!F26</f>
        <v>32272.043699378417</v>
      </c>
      <c r="F50" s="808">
        <v>0</v>
      </c>
      <c r="G50" s="808">
        <f>'Ciepło_gosp. dom._2024'!H27</f>
        <v>685.64429360516465</v>
      </c>
      <c r="H50" s="808">
        <v>0</v>
      </c>
      <c r="I50" s="808">
        <v>0</v>
      </c>
      <c r="J50" s="808">
        <f>J30</f>
        <v>0</v>
      </c>
      <c r="K50" s="808">
        <f>'Ciepło_gosp. dom._2024'!H25</f>
        <v>16602.74222715322</v>
      </c>
      <c r="L50" s="808">
        <v>0</v>
      </c>
      <c r="M50" s="808">
        <v>0</v>
      </c>
      <c r="N50" s="808">
        <v>0</v>
      </c>
      <c r="O50" s="808">
        <f>'Ciepło_gosp. dom._2024'!H28</f>
        <v>9995.081690813171</v>
      </c>
      <c r="P50" s="808">
        <v>0</v>
      </c>
      <c r="Q50" s="809">
        <v>0</v>
      </c>
      <c r="R50" s="990">
        <f>SUM(C50:Q50)</f>
        <v>76886.632941176678</v>
      </c>
    </row>
    <row r="51" spans="2:18" ht="15.75" customHeight="1">
      <c r="B51" s="784" t="s">
        <v>389</v>
      </c>
      <c r="C51" s="807">
        <f>'En. elektryczna_2028'!D27</f>
        <v>710.54611870520614</v>
      </c>
      <c r="D51" s="808">
        <v>0</v>
      </c>
      <c r="E51" s="808">
        <v>0</v>
      </c>
      <c r="F51" s="808">
        <v>0</v>
      </c>
      <c r="G51" s="808">
        <v>0</v>
      </c>
      <c r="H51" s="808">
        <v>0</v>
      </c>
      <c r="I51" s="808">
        <v>0</v>
      </c>
      <c r="J51" s="808">
        <f>J31</f>
        <v>0</v>
      </c>
      <c r="K51" s="808">
        <v>0</v>
      </c>
      <c r="L51" s="808">
        <v>0</v>
      </c>
      <c r="M51" s="808">
        <v>0</v>
      </c>
      <c r="N51" s="808">
        <v>0</v>
      </c>
      <c r="O51" s="808">
        <v>0</v>
      </c>
      <c r="P51" s="808">
        <v>0</v>
      </c>
      <c r="Q51" s="809">
        <v>0</v>
      </c>
      <c r="R51" s="990">
        <f>SUM(C51:Q51)</f>
        <v>710.54611870520614</v>
      </c>
    </row>
    <row r="52" spans="2:18" ht="15.75" customHeight="1" thickBot="1">
      <c r="B52" s="791" t="s">
        <v>470</v>
      </c>
      <c r="C52" s="811">
        <f>'En. elektryczna_2028'!D23</f>
        <v>4543.5201511335008</v>
      </c>
      <c r="D52" s="812">
        <v>0</v>
      </c>
      <c r="E52" s="813">
        <f>Gaz_2028!F24</f>
        <v>7276.4466001130149</v>
      </c>
      <c r="F52" s="813">
        <v>0</v>
      </c>
      <c r="G52" s="793">
        <f>Charakterystyka_2028!$D$129</f>
        <v>0.41165876337075014</v>
      </c>
      <c r="H52" s="786">
        <f>Charakterystyka_2028!D135</f>
        <v>2015.9347816075297</v>
      </c>
      <c r="I52" s="786">
        <f>Charakterystyka_2028!C135</f>
        <v>174.697881344</v>
      </c>
      <c r="J52" s="793">
        <v>0</v>
      </c>
      <c r="K52" s="794">
        <f>Charakterystyka_2028!E129</f>
        <v>801.47180000000014</v>
      </c>
      <c r="L52" s="808">
        <v>0</v>
      </c>
      <c r="M52" s="808">
        <v>0</v>
      </c>
      <c r="N52" s="808">
        <v>0</v>
      </c>
      <c r="O52" s="808">
        <v>0</v>
      </c>
      <c r="P52" s="812">
        <v>0</v>
      </c>
      <c r="Q52" s="814">
        <v>0</v>
      </c>
      <c r="R52" s="991">
        <f>SUM(C52:Q52)</f>
        <v>14812.482872961416</v>
      </c>
    </row>
    <row r="53" spans="2:18" ht="15.75" customHeight="1" thickBot="1">
      <c r="B53" s="797" t="s">
        <v>471</v>
      </c>
      <c r="C53" s="815">
        <f>SUM(C48:C52)</f>
        <v>22741.274078402937</v>
      </c>
      <c r="D53" s="816">
        <f>SUM(D48:D52)</f>
        <v>12772.193000000001</v>
      </c>
      <c r="E53" s="816">
        <f t="shared" ref="E53:R53" si="6">SUM(E48:E52)</f>
        <v>74686.23082877761</v>
      </c>
      <c r="F53" s="816">
        <f t="shared" si="6"/>
        <v>0</v>
      </c>
      <c r="G53" s="816">
        <f t="shared" si="6"/>
        <v>721.65599236853541</v>
      </c>
      <c r="H53" s="816">
        <f t="shared" si="6"/>
        <v>2015.9347816075297</v>
      </c>
      <c r="I53" s="816">
        <f t="shared" si="6"/>
        <v>174.697881344</v>
      </c>
      <c r="J53" s="816">
        <f t="shared" si="6"/>
        <v>0</v>
      </c>
      <c r="K53" s="816">
        <f t="shared" si="6"/>
        <v>17585.039627153219</v>
      </c>
      <c r="L53" s="816">
        <f t="shared" si="6"/>
        <v>0</v>
      </c>
      <c r="M53" s="816">
        <f t="shared" si="6"/>
        <v>0</v>
      </c>
      <c r="N53" s="816">
        <f t="shared" si="6"/>
        <v>0</v>
      </c>
      <c r="O53" s="816">
        <f t="shared" si="6"/>
        <v>9995.081690813171</v>
      </c>
      <c r="P53" s="816">
        <f t="shared" si="6"/>
        <v>0</v>
      </c>
      <c r="Q53" s="816">
        <f t="shared" si="6"/>
        <v>0</v>
      </c>
      <c r="R53" s="992">
        <f t="shared" si="6"/>
        <v>140692.10788046703</v>
      </c>
    </row>
    <row r="54" spans="2:18" ht="16.5" customHeight="1">
      <c r="B54" s="826" t="s">
        <v>384</v>
      </c>
      <c r="C54" s="1279"/>
      <c r="D54" s="1279"/>
      <c r="E54" s="1279"/>
      <c r="F54" s="1279"/>
      <c r="G54" s="1279"/>
      <c r="H54" s="1279"/>
      <c r="I54" s="1279"/>
      <c r="J54" s="1279"/>
      <c r="K54" s="1279"/>
      <c r="L54" s="1279"/>
      <c r="M54" s="1279"/>
      <c r="N54" s="1279"/>
      <c r="O54" s="1279"/>
      <c r="P54" s="1279"/>
      <c r="Q54" s="1280"/>
      <c r="R54" s="993"/>
    </row>
    <row r="55" spans="2:18" ht="16.5" customHeight="1">
      <c r="B55" s="784" t="s">
        <v>348</v>
      </c>
      <c r="C55" s="807">
        <v>0</v>
      </c>
      <c r="D55" s="807">
        <v>0</v>
      </c>
      <c r="E55" s="807">
        <v>0</v>
      </c>
      <c r="F55" s="808">
        <f>'Tabor gminny_2024'!E74</f>
        <v>38.299475318111988</v>
      </c>
      <c r="G55" s="808">
        <v>0</v>
      </c>
      <c r="H55" s="808">
        <f>'Tabor gminny_2024'!E73</f>
        <v>616.06264827189602</v>
      </c>
      <c r="I55" s="808">
        <f>'Tabor gminny_2024'!E72</f>
        <v>280.02800480255996</v>
      </c>
      <c r="J55" s="808">
        <v>0</v>
      </c>
      <c r="K55" s="808">
        <v>0</v>
      </c>
      <c r="L55" s="808">
        <v>0</v>
      </c>
      <c r="M55" s="808">
        <v>0</v>
      </c>
      <c r="N55" s="808">
        <v>0</v>
      </c>
      <c r="O55" s="808">
        <v>0</v>
      </c>
      <c r="P55" s="808">
        <v>0</v>
      </c>
      <c r="Q55" s="808">
        <v>0</v>
      </c>
      <c r="R55" s="994">
        <f>SUM(C55:Q55)</f>
        <v>934.39012839256793</v>
      </c>
    </row>
    <row r="56" spans="2:18" ht="16.5" customHeight="1">
      <c r="B56" s="784" t="str">
        <f>B36</f>
        <v>Transport komercyjny autobusy</v>
      </c>
      <c r="C56" s="807">
        <v>0</v>
      </c>
      <c r="D56" s="807">
        <v>0</v>
      </c>
      <c r="E56" s="807">
        <v>0</v>
      </c>
      <c r="F56" s="808">
        <v>0</v>
      </c>
      <c r="G56" s="808">
        <v>0</v>
      </c>
      <c r="H56" s="808">
        <f>'Transport kom. autobusy_2024'!F39</f>
        <v>123.12312226200002</v>
      </c>
      <c r="I56" s="808">
        <f>'Transport kom. autobusy_2024'!F38</f>
        <v>0</v>
      </c>
      <c r="J56" s="808">
        <v>0</v>
      </c>
      <c r="K56" s="808">
        <v>0</v>
      </c>
      <c r="L56" s="808">
        <v>0</v>
      </c>
      <c r="M56" s="808">
        <v>0</v>
      </c>
      <c r="N56" s="808">
        <v>0</v>
      </c>
      <c r="O56" s="808">
        <v>0</v>
      </c>
      <c r="P56" s="808">
        <v>0</v>
      </c>
      <c r="Q56" s="808">
        <v>0</v>
      </c>
      <c r="R56" s="994">
        <f>SUM(C56:Q56)</f>
        <v>123.12312226200002</v>
      </c>
    </row>
    <row r="57" spans="2:18" ht="16.5" customHeight="1">
      <c r="B57" s="784" t="s">
        <v>356</v>
      </c>
      <c r="C57" s="807">
        <v>0</v>
      </c>
      <c r="D57" s="807">
        <v>0</v>
      </c>
      <c r="E57" s="807">
        <v>0</v>
      </c>
      <c r="F57" s="808">
        <f>'Transport prywatny_2024'!F53</f>
        <v>357.64687510420436</v>
      </c>
      <c r="G57" s="808">
        <v>0</v>
      </c>
      <c r="H57" s="808">
        <f>'Transport prywatny_2024'!F52</f>
        <v>27814.16554446836</v>
      </c>
      <c r="I57" s="808">
        <f>'Transport prywatny_2024'!F51</f>
        <v>6537.3539859770062</v>
      </c>
      <c r="J57" s="808">
        <v>0</v>
      </c>
      <c r="K57" s="808">
        <v>0</v>
      </c>
      <c r="L57" s="808">
        <v>0</v>
      </c>
      <c r="M57" s="808">
        <v>0</v>
      </c>
      <c r="N57" s="808">
        <v>0</v>
      </c>
      <c r="O57" s="808">
        <v>0</v>
      </c>
      <c r="P57" s="808">
        <v>0</v>
      </c>
      <c r="Q57" s="808">
        <v>0</v>
      </c>
      <c r="R57" s="994">
        <f>SUM(C57:Q57)</f>
        <v>34709.166405549571</v>
      </c>
    </row>
    <row r="58" spans="2:18" ht="16.5" customHeight="1">
      <c r="B58" s="784" t="str">
        <f>B38</f>
        <v>Transport publiczny</v>
      </c>
      <c r="C58" s="807">
        <v>0</v>
      </c>
      <c r="D58" s="807">
        <v>0</v>
      </c>
      <c r="E58" s="807">
        <v>0</v>
      </c>
      <c r="F58" s="808">
        <v>0</v>
      </c>
      <c r="G58" s="808">
        <v>0</v>
      </c>
      <c r="H58" s="808">
        <v>0</v>
      </c>
      <c r="I58" s="808">
        <v>0</v>
      </c>
      <c r="J58" s="808">
        <v>0</v>
      </c>
      <c r="K58" s="808">
        <v>0</v>
      </c>
      <c r="L58" s="808">
        <v>0</v>
      </c>
      <c r="M58" s="808">
        <v>0</v>
      </c>
      <c r="N58" s="808">
        <v>0</v>
      </c>
      <c r="O58" s="808">
        <v>0</v>
      </c>
      <c r="P58" s="808">
        <v>0</v>
      </c>
      <c r="Q58" s="808">
        <v>0</v>
      </c>
      <c r="R58" s="994">
        <v>0</v>
      </c>
    </row>
    <row r="59" spans="2:18" ht="16.5" customHeight="1">
      <c r="B59" s="784" t="s">
        <v>357</v>
      </c>
      <c r="C59" s="807">
        <v>0</v>
      </c>
      <c r="D59" s="807">
        <v>0</v>
      </c>
      <c r="E59" s="807">
        <v>0</v>
      </c>
      <c r="F59" s="808">
        <f>'Transport komercyjny_2024'!F48</f>
        <v>406.43042749560459</v>
      </c>
      <c r="G59" s="808">
        <v>0</v>
      </c>
      <c r="H59" s="808">
        <f>'Transport komercyjny_2024'!F47</f>
        <v>8415.1016625376888</v>
      </c>
      <c r="I59" s="808">
        <f>'Transport komercyjny_2024'!F46</f>
        <v>3525.4901712455312</v>
      </c>
      <c r="J59" s="808">
        <v>0</v>
      </c>
      <c r="K59" s="808">
        <v>0</v>
      </c>
      <c r="L59" s="808">
        <v>0</v>
      </c>
      <c r="M59" s="808">
        <v>0</v>
      </c>
      <c r="N59" s="808">
        <v>0</v>
      </c>
      <c r="O59" s="808">
        <v>0</v>
      </c>
      <c r="P59" s="808">
        <v>0</v>
      </c>
      <c r="Q59" s="808">
        <v>0</v>
      </c>
      <c r="R59" s="994">
        <f>SUM(C59:Q59)</f>
        <v>12347.022261278824</v>
      </c>
    </row>
    <row r="60" spans="2:18" ht="16.5" customHeight="1" thickBot="1">
      <c r="B60" s="801" t="s">
        <v>472</v>
      </c>
      <c r="C60" s="817">
        <f t="shared" ref="C60:R60" si="7">SUM(C55:C59)</f>
        <v>0</v>
      </c>
      <c r="D60" s="818">
        <f t="shared" si="7"/>
        <v>0</v>
      </c>
      <c r="E60" s="818">
        <f t="shared" si="7"/>
        <v>0</v>
      </c>
      <c r="F60" s="818">
        <f t="shared" si="7"/>
        <v>802.37677791792089</v>
      </c>
      <c r="G60" s="818">
        <f t="shared" si="7"/>
        <v>0</v>
      </c>
      <c r="H60" s="818">
        <f t="shared" si="7"/>
        <v>36968.452977539942</v>
      </c>
      <c r="I60" s="818">
        <f t="shared" si="7"/>
        <v>10342.872162025098</v>
      </c>
      <c r="J60" s="818">
        <f t="shared" si="7"/>
        <v>0</v>
      </c>
      <c r="K60" s="818">
        <f>SUM(K55:K59)</f>
        <v>0</v>
      </c>
      <c r="L60" s="818">
        <f t="shared" si="7"/>
        <v>0</v>
      </c>
      <c r="M60" s="818">
        <f t="shared" si="7"/>
        <v>0</v>
      </c>
      <c r="N60" s="818">
        <f t="shared" si="7"/>
        <v>0</v>
      </c>
      <c r="O60" s="818">
        <f t="shared" si="7"/>
        <v>0</v>
      </c>
      <c r="P60" s="818">
        <f t="shared" si="7"/>
        <v>0</v>
      </c>
      <c r="Q60" s="818">
        <f t="shared" si="7"/>
        <v>0</v>
      </c>
      <c r="R60" s="995">
        <f t="shared" si="7"/>
        <v>48113.701917482962</v>
      </c>
    </row>
    <row r="61" spans="2:18" ht="17.25" customHeight="1" thickTop="1" thickBot="1">
      <c r="B61" s="827" t="s">
        <v>379</v>
      </c>
      <c r="C61" s="819">
        <f>C60+C53</f>
        <v>22741.274078402937</v>
      </c>
      <c r="D61" s="820">
        <f t="shared" ref="D61:Q61" si="8">D60+D53</f>
        <v>12772.193000000001</v>
      </c>
      <c r="E61" s="820">
        <f t="shared" si="8"/>
        <v>74686.23082877761</v>
      </c>
      <c r="F61" s="820">
        <f t="shared" si="8"/>
        <v>802.37677791792089</v>
      </c>
      <c r="G61" s="820">
        <f t="shared" si="8"/>
        <v>721.65599236853541</v>
      </c>
      <c r="H61" s="820">
        <f t="shared" si="8"/>
        <v>38984.387759147474</v>
      </c>
      <c r="I61" s="820">
        <f t="shared" si="8"/>
        <v>10517.570043369098</v>
      </c>
      <c r="J61" s="820">
        <f t="shared" si="8"/>
        <v>0</v>
      </c>
      <c r="K61" s="820">
        <f t="shared" si="8"/>
        <v>17585.039627153219</v>
      </c>
      <c r="L61" s="820">
        <f t="shared" si="8"/>
        <v>0</v>
      </c>
      <c r="M61" s="820">
        <f t="shared" si="8"/>
        <v>0</v>
      </c>
      <c r="N61" s="820">
        <f t="shared" si="8"/>
        <v>0</v>
      </c>
      <c r="O61" s="820">
        <f t="shared" si="8"/>
        <v>9995.081690813171</v>
      </c>
      <c r="P61" s="820">
        <f t="shared" si="8"/>
        <v>0</v>
      </c>
      <c r="Q61" s="820">
        <f t="shared" si="8"/>
        <v>0</v>
      </c>
      <c r="R61" s="996">
        <f>R60+R53</f>
        <v>188805.80979794997</v>
      </c>
    </row>
    <row r="62" spans="2:18" ht="14.25" customHeight="1">
      <c r="B62" s="828"/>
      <c r="C62" s="806"/>
      <c r="D62" s="806"/>
      <c r="E62" s="806"/>
      <c r="F62" s="806"/>
      <c r="G62" s="806"/>
      <c r="H62" s="806"/>
      <c r="I62" s="806"/>
      <c r="J62" s="806"/>
      <c r="K62" s="806"/>
      <c r="L62" s="806"/>
      <c r="M62" s="806"/>
      <c r="N62" s="806"/>
      <c r="O62" s="806"/>
      <c r="P62" s="806"/>
      <c r="Q62" s="806"/>
      <c r="R62" s="806"/>
    </row>
    <row r="63" spans="2:18" ht="14.25" customHeight="1">
      <c r="B63" s="828"/>
      <c r="C63" s="806"/>
      <c r="D63" s="806"/>
      <c r="E63" s="806"/>
      <c r="F63" s="806"/>
      <c r="G63" s="806"/>
      <c r="H63" s="806"/>
      <c r="I63" s="806"/>
      <c r="J63" s="806"/>
      <c r="K63" s="806"/>
      <c r="L63" s="806"/>
      <c r="M63" s="806"/>
      <c r="N63" s="806"/>
      <c r="O63" s="821">
        <f>O41-O61</f>
        <v>-411.84030614043149</v>
      </c>
      <c r="P63" s="806"/>
      <c r="Q63" s="806"/>
      <c r="R63" s="806"/>
    </row>
    <row r="64" spans="2:18" ht="14.25" customHeight="1" thickBot="1">
      <c r="B64" s="828"/>
      <c r="C64" s="806"/>
      <c r="D64" s="806"/>
      <c r="E64" s="806"/>
      <c r="F64" s="806"/>
      <c r="G64" s="806"/>
      <c r="H64" s="806"/>
      <c r="I64" s="806"/>
      <c r="J64" s="806"/>
      <c r="K64" s="806"/>
      <c r="L64" s="806"/>
      <c r="M64" s="806"/>
      <c r="N64" s="806"/>
      <c r="O64" s="806"/>
      <c r="P64" s="821"/>
      <c r="Q64" s="806"/>
      <c r="R64" s="806"/>
    </row>
    <row r="65" spans="2:18" ht="14.25" customHeight="1" thickBot="1">
      <c r="B65" s="828"/>
      <c r="C65" s="1281" t="s">
        <v>211</v>
      </c>
      <c r="D65" s="1282"/>
      <c r="E65" s="1283"/>
      <c r="F65" s="806"/>
      <c r="G65" s="806"/>
      <c r="H65" s="806"/>
      <c r="I65" s="806"/>
      <c r="J65" s="806"/>
      <c r="K65" s="806"/>
      <c r="L65" s="806"/>
      <c r="M65" s="806"/>
      <c r="N65" s="806"/>
      <c r="O65" s="806"/>
      <c r="P65" s="806"/>
      <c r="Q65" s="806"/>
      <c r="R65" s="806"/>
    </row>
    <row r="66" spans="2:18" ht="14.25" customHeight="1" thickBot="1">
      <c r="B66" s="828"/>
      <c r="C66" s="829" t="s">
        <v>212</v>
      </c>
      <c r="D66" s="830">
        <v>3.6</v>
      </c>
      <c r="E66" s="831" t="s">
        <v>207</v>
      </c>
      <c r="F66" s="806"/>
      <c r="G66" s="806"/>
      <c r="H66" s="806"/>
      <c r="I66" s="806"/>
      <c r="J66" s="806"/>
      <c r="K66" s="806"/>
      <c r="L66" s="806"/>
      <c r="M66" s="806"/>
      <c r="N66" s="806"/>
      <c r="O66" s="806"/>
      <c r="P66" s="806"/>
      <c r="Q66" s="806"/>
      <c r="R66" s="806"/>
    </row>
    <row r="67" spans="2:18" ht="14.25" customHeight="1" thickBot="1">
      <c r="B67" s="828"/>
      <c r="C67" s="832" t="s">
        <v>213</v>
      </c>
      <c r="D67" s="833">
        <v>0.27700000000000002</v>
      </c>
      <c r="E67" s="834" t="s">
        <v>214</v>
      </c>
      <c r="F67" s="806"/>
      <c r="G67" s="806"/>
      <c r="H67" s="806"/>
      <c r="I67" s="806"/>
      <c r="J67" s="806"/>
      <c r="K67" s="806"/>
      <c r="L67" s="806"/>
      <c r="M67" s="806"/>
      <c r="N67" s="806"/>
      <c r="O67" s="806"/>
      <c r="P67" s="806"/>
      <c r="Q67" s="806"/>
      <c r="R67" s="806"/>
    </row>
    <row r="68" spans="2:18" ht="14.25" customHeight="1">
      <c r="B68" s="828"/>
      <c r="C68" s="806"/>
      <c r="D68" s="806"/>
      <c r="E68" s="806"/>
      <c r="F68" s="806"/>
      <c r="G68" s="806"/>
      <c r="H68" s="806"/>
      <c r="I68" s="806"/>
      <c r="J68" s="806"/>
      <c r="K68" s="806"/>
      <c r="L68" s="806"/>
      <c r="M68" s="806"/>
      <c r="N68" s="806"/>
      <c r="O68" s="806"/>
      <c r="P68" s="806"/>
      <c r="Q68" s="806"/>
      <c r="R68" s="806"/>
    </row>
    <row r="69" spans="2:18" ht="14.25" customHeight="1">
      <c r="B69" s="828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</row>
    <row r="70" spans="2:18" ht="14.25" customHeight="1">
      <c r="B70" s="828"/>
      <c r="C70" s="806"/>
      <c r="D70" s="806"/>
      <c r="E70" s="806"/>
      <c r="F70" s="806"/>
      <c r="G70" s="806"/>
      <c r="H70" s="806"/>
      <c r="I70" s="806"/>
      <c r="J70" s="806"/>
      <c r="K70" s="806"/>
      <c r="L70" s="806"/>
      <c r="M70" s="806"/>
      <c r="N70" s="806"/>
      <c r="O70" s="806"/>
      <c r="P70" s="806"/>
      <c r="Q70" s="806"/>
      <c r="R70" s="806"/>
    </row>
    <row r="71" spans="2:18" ht="14.25" customHeight="1">
      <c r="B71" s="828"/>
      <c r="C71" s="806"/>
      <c r="D71" s="806"/>
      <c r="E71" s="806"/>
      <c r="F71" s="806"/>
      <c r="G71" s="806"/>
      <c r="H71" s="806"/>
      <c r="I71" s="806"/>
      <c r="J71" s="806"/>
      <c r="K71" s="806"/>
      <c r="L71" s="806"/>
      <c r="M71" s="806"/>
      <c r="N71" s="806"/>
      <c r="O71" s="806"/>
      <c r="P71" s="806"/>
      <c r="Q71" s="806"/>
      <c r="R71" s="806"/>
    </row>
    <row r="72" spans="2:18" ht="14.25" customHeight="1">
      <c r="B72" s="828"/>
      <c r="C72" s="806"/>
      <c r="D72" s="806"/>
      <c r="E72" s="806"/>
      <c r="F72" s="806"/>
      <c r="G72" s="806"/>
      <c r="H72" s="806"/>
      <c r="I72" s="806"/>
      <c r="J72" s="806"/>
      <c r="K72" s="806"/>
      <c r="L72" s="806"/>
      <c r="M72" s="806"/>
      <c r="N72" s="806"/>
      <c r="O72" s="806"/>
      <c r="P72" s="806"/>
      <c r="Q72" s="806"/>
      <c r="R72" s="806"/>
    </row>
    <row r="73" spans="2:18" ht="14.25" customHeight="1">
      <c r="B73" s="828"/>
      <c r="C73" s="806"/>
      <c r="D73" s="806"/>
      <c r="E73" s="806"/>
      <c r="F73" s="806"/>
      <c r="G73" s="806"/>
      <c r="H73" s="806"/>
      <c r="I73" s="806"/>
      <c r="J73" s="806"/>
      <c r="K73" s="806"/>
      <c r="L73" s="806"/>
      <c r="M73" s="806"/>
      <c r="N73" s="806"/>
      <c r="O73" s="806"/>
      <c r="P73" s="806"/>
      <c r="Q73" s="806"/>
      <c r="R73" s="806"/>
    </row>
    <row r="74" spans="2:18" ht="14.25" customHeight="1">
      <c r="B74" s="828"/>
      <c r="C74" s="806"/>
      <c r="D74" s="806"/>
      <c r="E74" s="806"/>
      <c r="F74" s="806"/>
      <c r="G74" s="806"/>
      <c r="H74" s="806"/>
      <c r="I74" s="806"/>
      <c r="J74" s="806"/>
      <c r="K74" s="806"/>
      <c r="L74" s="806"/>
      <c r="M74" s="806"/>
      <c r="N74" s="806"/>
      <c r="O74" s="806"/>
      <c r="P74" s="806"/>
      <c r="Q74" s="806"/>
      <c r="R74" s="806"/>
    </row>
    <row r="75" spans="2:18" ht="15" customHeight="1">
      <c r="B75" s="822"/>
      <c r="C75" s="822"/>
      <c r="D75" s="822"/>
      <c r="E75" s="822"/>
      <c r="F75" s="822"/>
      <c r="G75" s="822"/>
      <c r="H75" s="822"/>
      <c r="I75" s="822"/>
      <c r="J75" s="822"/>
      <c r="K75" s="822"/>
      <c r="L75" s="822"/>
      <c r="M75" s="822"/>
      <c r="N75" s="822"/>
      <c r="O75" s="822"/>
    </row>
    <row r="76" spans="2:18" ht="15.75" customHeight="1"/>
    <row r="80" spans="2:18" ht="17.25" customHeight="1"/>
    <row r="81" ht="15.75" customHeight="1"/>
    <row r="82" ht="15.75" customHeight="1"/>
    <row r="108" ht="17.25" customHeight="1"/>
    <row r="109" ht="15.75" customHeight="1"/>
    <row r="122" ht="17.25" customHeight="1"/>
    <row r="123" ht="15.75" customHeight="1"/>
  </sheetData>
  <mergeCells count="30">
    <mergeCell ref="B2:C2"/>
    <mergeCell ref="B3:R3"/>
    <mergeCell ref="B24:B26"/>
    <mergeCell ref="C24:R24"/>
    <mergeCell ref="C25:C26"/>
    <mergeCell ref="D25:D26"/>
    <mergeCell ref="E25:L25"/>
    <mergeCell ref="M25:Q25"/>
    <mergeCell ref="R25:R26"/>
    <mergeCell ref="B5:B7"/>
    <mergeCell ref="C5:R5"/>
    <mergeCell ref="C6:C7"/>
    <mergeCell ref="D6:D7"/>
    <mergeCell ref="E6:L6"/>
    <mergeCell ref="M6:Q6"/>
    <mergeCell ref="R6:R7"/>
    <mergeCell ref="B44:B46"/>
    <mergeCell ref="C44:R44"/>
    <mergeCell ref="C45:C46"/>
    <mergeCell ref="D45:D46"/>
    <mergeCell ref="E45:L45"/>
    <mergeCell ref="M45:Q45"/>
    <mergeCell ref="R45:R46"/>
    <mergeCell ref="C8:Q8"/>
    <mergeCell ref="C15:Q15"/>
    <mergeCell ref="C47:Q47"/>
    <mergeCell ref="C54:Q54"/>
    <mergeCell ref="C65:E65"/>
    <mergeCell ref="C27:Q27"/>
    <mergeCell ref="C34:Q3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T96"/>
  <sheetViews>
    <sheetView showGridLines="0" topLeftCell="A58" zoomScale="70" zoomScaleNormal="70" workbookViewId="0">
      <selection activeCell="R66" sqref="R66"/>
    </sheetView>
  </sheetViews>
  <sheetFormatPr defaultRowHeight="16.5"/>
  <cols>
    <col min="1" max="1" width="2.75" style="776" customWidth="1"/>
    <col min="2" max="2" width="51.375" style="776" customWidth="1"/>
    <col min="3" max="3" width="11.625" style="776" customWidth="1"/>
    <col min="4" max="5" width="12.375" style="776" customWidth="1"/>
    <col min="6" max="6" width="11.25" style="776" customWidth="1"/>
    <col min="7" max="7" width="13" style="776" customWidth="1"/>
    <col min="8" max="8" width="11.75" style="776" customWidth="1"/>
    <col min="9" max="9" width="11.25" style="776" customWidth="1"/>
    <col min="10" max="10" width="10" style="776" customWidth="1"/>
    <col min="11" max="11" width="10.125" style="776" customWidth="1"/>
    <col min="12" max="12" width="11.75" style="776" customWidth="1"/>
    <col min="13" max="13" width="10.625" style="776" customWidth="1"/>
    <col min="14" max="14" width="8.625" style="776" customWidth="1"/>
    <col min="15" max="15" width="9.875" style="776" customWidth="1"/>
    <col min="16" max="16" width="10" style="776" customWidth="1"/>
    <col min="17" max="17" width="13.5" style="776" customWidth="1"/>
    <col min="18" max="18" width="13.75" style="776" customWidth="1"/>
    <col min="19" max="16384" width="9" style="776"/>
  </cols>
  <sheetData>
    <row r="1" spans="2:18"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</row>
    <row r="2" spans="2:18"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</row>
    <row r="3" spans="2:18">
      <c r="B3" s="836" t="s">
        <v>473</v>
      </c>
      <c r="C3" s="837"/>
      <c r="D3" s="837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835"/>
    </row>
    <row r="4" spans="2:18" ht="17.25" thickBot="1"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</row>
    <row r="5" spans="2:18" ht="18" thickTop="1" thickBot="1">
      <c r="B5" s="1357" t="s">
        <v>376</v>
      </c>
      <c r="C5" s="1372" t="s">
        <v>1016</v>
      </c>
      <c r="D5" s="1373"/>
      <c r="E5" s="1373"/>
      <c r="F5" s="1373"/>
      <c r="G5" s="1373"/>
      <c r="H5" s="1373"/>
      <c r="I5" s="1373"/>
      <c r="J5" s="1373"/>
      <c r="K5" s="1373"/>
      <c r="L5" s="1373"/>
      <c r="M5" s="1373"/>
      <c r="N5" s="1373"/>
      <c r="O5" s="1373"/>
      <c r="P5" s="1373"/>
      <c r="Q5" s="1373"/>
      <c r="R5" s="1374"/>
    </row>
    <row r="6" spans="2:18" ht="18" customHeight="1" thickTop="1">
      <c r="B6" s="1358"/>
      <c r="C6" s="1363" t="s">
        <v>113</v>
      </c>
      <c r="D6" s="1365" t="s">
        <v>60</v>
      </c>
      <c r="E6" s="1367" t="s">
        <v>377</v>
      </c>
      <c r="F6" s="1368"/>
      <c r="G6" s="1368"/>
      <c r="H6" s="1368"/>
      <c r="I6" s="1368"/>
      <c r="J6" s="1368"/>
      <c r="K6" s="1368"/>
      <c r="L6" s="1369"/>
      <c r="M6" s="1367" t="s">
        <v>378</v>
      </c>
      <c r="N6" s="1368"/>
      <c r="O6" s="1368"/>
      <c r="P6" s="1368"/>
      <c r="Q6" s="1370"/>
      <c r="R6" s="1333" t="s">
        <v>379</v>
      </c>
    </row>
    <row r="7" spans="2:18" ht="38.25" customHeight="1" thickBot="1">
      <c r="B7" s="1359"/>
      <c r="C7" s="1364"/>
      <c r="D7" s="1366"/>
      <c r="E7" s="781" t="s">
        <v>458</v>
      </c>
      <c r="F7" s="781" t="s">
        <v>380</v>
      </c>
      <c r="G7" s="781" t="s">
        <v>59</v>
      </c>
      <c r="H7" s="781" t="s">
        <v>81</v>
      </c>
      <c r="I7" s="781" t="s">
        <v>19</v>
      </c>
      <c r="J7" s="781" t="s">
        <v>459</v>
      </c>
      <c r="K7" s="838" t="s">
        <v>460</v>
      </c>
      <c r="L7" s="838" t="s">
        <v>461</v>
      </c>
      <c r="M7" s="781" t="s">
        <v>463</v>
      </c>
      <c r="N7" s="781" t="s">
        <v>462</v>
      </c>
      <c r="O7" s="781" t="s">
        <v>464</v>
      </c>
      <c r="P7" s="781" t="s">
        <v>465</v>
      </c>
      <c r="Q7" s="782" t="s">
        <v>466</v>
      </c>
      <c r="R7" s="1371"/>
    </row>
    <row r="8" spans="2:18" ht="14.25" customHeight="1" thickTop="1">
      <c r="B8" s="839" t="s">
        <v>467</v>
      </c>
      <c r="C8" s="840" t="s">
        <v>381</v>
      </c>
      <c r="D8" s="841"/>
      <c r="E8" s="842"/>
      <c r="F8" s="842"/>
      <c r="G8" s="842"/>
      <c r="H8" s="842"/>
      <c r="I8" s="842"/>
      <c r="J8" s="842"/>
      <c r="K8" s="842"/>
      <c r="L8" s="842"/>
      <c r="M8" s="843"/>
      <c r="N8" s="843"/>
      <c r="O8" s="842"/>
      <c r="P8" s="843"/>
      <c r="Q8" s="844"/>
      <c r="R8" s="845"/>
    </row>
    <row r="9" spans="2:18" ht="14.25" customHeight="1">
      <c r="B9" s="846" t="s">
        <v>468</v>
      </c>
      <c r="C9" s="807">
        <f>'En. elektryczna_2028'!F10</f>
        <v>237.51812000000001</v>
      </c>
      <c r="D9" s="808">
        <f>'Ciepło sieciowe_2028'!G7</f>
        <v>273.59999999999997</v>
      </c>
      <c r="E9" s="808">
        <f>Gaz_2028!H10</f>
        <v>2018.7334073431041</v>
      </c>
      <c r="F9" s="808">
        <v>0</v>
      </c>
      <c r="G9" s="808">
        <v>0</v>
      </c>
      <c r="H9" s="808">
        <v>0</v>
      </c>
      <c r="I9" s="808">
        <v>0</v>
      </c>
      <c r="J9" s="808">
        <v>0</v>
      </c>
      <c r="K9" s="808">
        <f>'Budynki komunalne_2014'!J8</f>
        <v>61.839743999999989</v>
      </c>
      <c r="L9" s="808">
        <v>0</v>
      </c>
      <c r="M9" s="808">
        <v>0</v>
      </c>
      <c r="N9" s="808">
        <v>0</v>
      </c>
      <c r="O9" s="808">
        <v>0</v>
      </c>
      <c r="P9" s="808">
        <v>0</v>
      </c>
      <c r="Q9" s="808">
        <v>0</v>
      </c>
      <c r="R9" s="790">
        <f>SUM(C9:Q9)</f>
        <v>2591.6912713431038</v>
      </c>
    </row>
    <row r="10" spans="2:18" ht="14.25" customHeight="1">
      <c r="B10" s="847" t="s">
        <v>469</v>
      </c>
      <c r="C10" s="807">
        <f>'En. elektryczna_2028'!F8</f>
        <v>8407.3667999999998</v>
      </c>
      <c r="D10" s="808">
        <f>'Ciepło sieciowe_2028'!G8</f>
        <v>31.5</v>
      </c>
      <c r="E10" s="808">
        <f>Gaz_2028!H8</f>
        <v>2154.4066742259201</v>
      </c>
      <c r="F10" s="808">
        <v>0</v>
      </c>
      <c r="G10" s="808">
        <f>'Budynki niekomunalne_2024'!L12</f>
        <v>9.8433468000000008</v>
      </c>
      <c r="H10" s="808">
        <v>0</v>
      </c>
      <c r="I10" s="808">
        <v>0</v>
      </c>
      <c r="J10" s="808">
        <v>0</v>
      </c>
      <c r="K10" s="808">
        <v>0</v>
      </c>
      <c r="L10" s="808">
        <v>0</v>
      </c>
      <c r="M10" s="808">
        <v>0</v>
      </c>
      <c r="N10" s="808">
        <v>0</v>
      </c>
      <c r="O10" s="808">
        <v>0</v>
      </c>
      <c r="P10" s="808">
        <v>0</v>
      </c>
      <c r="Q10" s="808">
        <v>0</v>
      </c>
      <c r="R10" s="790">
        <f>SUM(C10:Q10)</f>
        <v>10603.11682102592</v>
      </c>
    </row>
    <row r="11" spans="2:18" ht="14.25" customHeight="1">
      <c r="B11" s="846" t="s">
        <v>312</v>
      </c>
      <c r="C11" s="807">
        <f>'En. elektryczna_2028'!F9</f>
        <v>7461.5329600000005</v>
      </c>
      <c r="D11" s="808">
        <f>'Ciepło sieciowe_2028'!G6</f>
        <v>2527.11</v>
      </c>
      <c r="E11" s="808">
        <f>Gaz_2028!H9</f>
        <v>5138.7964566000001</v>
      </c>
      <c r="F11" s="808">
        <v>0</v>
      </c>
      <c r="G11" s="808">
        <f>'Ciepło_gosp. dom._2024'!J9</f>
        <v>422.06788339669703</v>
      </c>
      <c r="H11" s="808">
        <v>0</v>
      </c>
      <c r="I11" s="808">
        <v>0</v>
      </c>
      <c r="J11" s="808">
        <v>0</v>
      </c>
      <c r="K11" s="808">
        <f>'Ciepło_gosp. dom._2024'!J7</f>
        <v>9616.2201731085679</v>
      </c>
      <c r="L11" s="808">
        <v>0</v>
      </c>
      <c r="M11" s="808">
        <v>0</v>
      </c>
      <c r="N11" s="808">
        <v>0</v>
      </c>
      <c r="O11" s="808">
        <v>0</v>
      </c>
      <c r="P11" s="808">
        <v>0</v>
      </c>
      <c r="Q11" s="808">
        <v>0</v>
      </c>
      <c r="R11" s="790">
        <f>SUM(C11:Q11)</f>
        <v>25165.727473105268</v>
      </c>
    </row>
    <row r="12" spans="2:18" ht="14.25" customHeight="1">
      <c r="B12" s="846" t="s">
        <v>389</v>
      </c>
      <c r="C12" s="807">
        <f>'En. elektryczna_2028'!F11</f>
        <v>1040.9840000000002</v>
      </c>
      <c r="D12" s="808">
        <v>0</v>
      </c>
      <c r="E12" s="808">
        <v>0</v>
      </c>
      <c r="F12" s="808">
        <v>0</v>
      </c>
      <c r="G12" s="808">
        <v>0</v>
      </c>
      <c r="H12" s="808">
        <v>0</v>
      </c>
      <c r="I12" s="808">
        <v>0</v>
      </c>
      <c r="J12" s="808">
        <v>0</v>
      </c>
      <c r="K12" s="808">
        <v>0</v>
      </c>
      <c r="L12" s="808">
        <v>0</v>
      </c>
      <c r="M12" s="808">
        <v>0</v>
      </c>
      <c r="N12" s="808">
        <v>0</v>
      </c>
      <c r="O12" s="808">
        <v>0</v>
      </c>
      <c r="P12" s="808">
        <v>0</v>
      </c>
      <c r="Q12" s="808">
        <v>0</v>
      </c>
      <c r="R12" s="790">
        <f>SUM(C12:Q12)</f>
        <v>1040.9840000000002</v>
      </c>
    </row>
    <row r="13" spans="2:18" ht="30" customHeight="1">
      <c r="B13" s="848" t="s">
        <v>470</v>
      </c>
      <c r="C13" s="807">
        <f>'En. elektryczna_2028'!F7</f>
        <v>4184.7637999999997</v>
      </c>
      <c r="D13" s="808">
        <f>'Ciepło sieciowe_2028'!G5</f>
        <v>0</v>
      </c>
      <c r="E13" s="808">
        <f>Gaz_2028!H7</f>
        <v>106.26725422023999</v>
      </c>
      <c r="F13" s="808">
        <v>0</v>
      </c>
      <c r="G13" s="808">
        <v>0</v>
      </c>
      <c r="H13" s="808">
        <v>0</v>
      </c>
      <c r="I13" s="808">
        <v>0</v>
      </c>
      <c r="J13" s="808">
        <v>0</v>
      </c>
      <c r="K13" s="808">
        <v>0</v>
      </c>
      <c r="L13" s="808">
        <v>0</v>
      </c>
      <c r="M13" s="808">
        <v>0</v>
      </c>
      <c r="N13" s="808">
        <v>0</v>
      </c>
      <c r="O13" s="808">
        <v>0</v>
      </c>
      <c r="P13" s="808">
        <v>0</v>
      </c>
      <c r="Q13" s="808">
        <v>0</v>
      </c>
      <c r="R13" s="790">
        <f>SUM(C13:Q13)</f>
        <v>4291.0310542202396</v>
      </c>
    </row>
    <row r="14" spans="2:18" ht="15.75" customHeight="1" thickBot="1">
      <c r="B14" s="849" t="s">
        <v>471</v>
      </c>
      <c r="C14" s="817">
        <f>SUM(C9:C13)</f>
        <v>21332.165680000002</v>
      </c>
      <c r="D14" s="817">
        <f t="shared" ref="D14:R14" si="0">SUM(D9:D13)</f>
        <v>2832.21</v>
      </c>
      <c r="E14" s="817">
        <f>SUM(E9:E13)</f>
        <v>9418.203792389264</v>
      </c>
      <c r="F14" s="817">
        <f t="shared" si="0"/>
        <v>0</v>
      </c>
      <c r="G14" s="817">
        <f t="shared" si="0"/>
        <v>431.91123019669703</v>
      </c>
      <c r="H14" s="817">
        <f t="shared" si="0"/>
        <v>0</v>
      </c>
      <c r="I14" s="817">
        <f t="shared" si="0"/>
        <v>0</v>
      </c>
      <c r="J14" s="817">
        <f t="shared" si="0"/>
        <v>0</v>
      </c>
      <c r="K14" s="817">
        <f t="shared" si="0"/>
        <v>9678.0599171085687</v>
      </c>
      <c r="L14" s="817">
        <f t="shared" si="0"/>
        <v>0</v>
      </c>
      <c r="M14" s="817">
        <f t="shared" si="0"/>
        <v>0</v>
      </c>
      <c r="N14" s="817">
        <f t="shared" si="0"/>
        <v>0</v>
      </c>
      <c r="O14" s="817">
        <f t="shared" si="0"/>
        <v>0</v>
      </c>
      <c r="P14" s="817">
        <f t="shared" si="0"/>
        <v>0</v>
      </c>
      <c r="Q14" s="850">
        <f t="shared" si="0"/>
        <v>0</v>
      </c>
      <c r="R14" s="997">
        <f t="shared" si="0"/>
        <v>43692.550619694528</v>
      </c>
    </row>
    <row r="15" spans="2:18" ht="14.25" customHeight="1">
      <c r="B15" s="839" t="s">
        <v>384</v>
      </c>
      <c r="C15" s="851"/>
      <c r="D15" s="852"/>
      <c r="E15" s="852"/>
      <c r="F15" s="852"/>
      <c r="G15" s="852"/>
      <c r="H15" s="852"/>
      <c r="I15" s="852"/>
      <c r="J15" s="852"/>
      <c r="K15" s="852"/>
      <c r="L15" s="852"/>
      <c r="M15" s="853"/>
      <c r="N15" s="853"/>
      <c r="O15" s="852"/>
      <c r="P15" s="853"/>
      <c r="Q15" s="854"/>
      <c r="R15" s="998"/>
    </row>
    <row r="16" spans="2:18" ht="14.25" customHeight="1">
      <c r="B16" s="846" t="s">
        <v>348</v>
      </c>
      <c r="C16" s="807">
        <v>0</v>
      </c>
      <c r="D16" s="807">
        <v>0</v>
      </c>
      <c r="E16" s="807">
        <v>0</v>
      </c>
      <c r="F16" s="808">
        <f>'Tabor gminny_2024'!F24</f>
        <v>8.6332824507686396</v>
      </c>
      <c r="G16" s="808">
        <v>0</v>
      </c>
      <c r="H16" s="808">
        <f>'Tabor gminny_2024'!F23</f>
        <v>163.08979782591385</v>
      </c>
      <c r="I16" s="808">
        <f>'Tabor gminny_2024'!F22</f>
        <v>69.360005088460795</v>
      </c>
      <c r="J16" s="808">
        <v>0</v>
      </c>
      <c r="K16" s="808">
        <v>0</v>
      </c>
      <c r="L16" s="808">
        <v>0</v>
      </c>
      <c r="M16" s="808">
        <v>0</v>
      </c>
      <c r="N16" s="808">
        <v>0</v>
      </c>
      <c r="O16" s="808">
        <v>0</v>
      </c>
      <c r="P16" s="808">
        <v>0</v>
      </c>
      <c r="Q16" s="808">
        <v>0</v>
      </c>
      <c r="R16" s="790">
        <f>SUM(C16:Q16)</f>
        <v>241.08308536514329</v>
      </c>
    </row>
    <row r="17" spans="2:18" ht="14.25" customHeight="1">
      <c r="B17" s="846" t="s">
        <v>512</v>
      </c>
      <c r="C17" s="807">
        <v>0</v>
      </c>
      <c r="D17" s="807">
        <v>0</v>
      </c>
      <c r="E17" s="807">
        <v>0</v>
      </c>
      <c r="F17" s="808">
        <f>'Transport kom. autobusy_2024'!G15</f>
        <v>0</v>
      </c>
      <c r="G17" s="808">
        <v>0</v>
      </c>
      <c r="H17" s="808">
        <f>'Transport kom. autobusy_2024'!G14</f>
        <v>32.594290813980002</v>
      </c>
      <c r="I17" s="808">
        <f>'Transport kom. autobusy_2024'!G13</f>
        <v>0</v>
      </c>
      <c r="J17" s="808">
        <v>0</v>
      </c>
      <c r="K17" s="808">
        <v>0</v>
      </c>
      <c r="L17" s="808">
        <v>0</v>
      </c>
      <c r="M17" s="808">
        <v>0</v>
      </c>
      <c r="N17" s="808">
        <v>0</v>
      </c>
      <c r="O17" s="808">
        <v>0</v>
      </c>
      <c r="P17" s="808">
        <v>0</v>
      </c>
      <c r="Q17" s="808">
        <v>0</v>
      </c>
      <c r="R17" s="790">
        <f>SUM(C17:Q17)</f>
        <v>32.594290813980002</v>
      </c>
    </row>
    <row r="18" spans="2:18" ht="14.25" customHeight="1">
      <c r="B18" s="846" t="s">
        <v>356</v>
      </c>
      <c r="C18" s="807">
        <v>0</v>
      </c>
      <c r="D18" s="807">
        <v>0</v>
      </c>
      <c r="E18" s="807">
        <v>0</v>
      </c>
      <c r="F18" s="808">
        <f>'Transport prywatny_2024'!G18</f>
        <v>90.583369747611854</v>
      </c>
      <c r="G18" s="808">
        <v>0</v>
      </c>
      <c r="H18" s="808">
        <f>'Transport prywatny_2024'!G17</f>
        <v>8273.3017321081643</v>
      </c>
      <c r="I18" s="808">
        <f>'Transport prywatny_2024'!G16</f>
        <v>1745.9264605129115</v>
      </c>
      <c r="J18" s="808">
        <v>0</v>
      </c>
      <c r="K18" s="808">
        <v>0</v>
      </c>
      <c r="L18" s="808">
        <v>0</v>
      </c>
      <c r="M18" s="808">
        <v>0</v>
      </c>
      <c r="N18" s="808">
        <v>0</v>
      </c>
      <c r="O18" s="808">
        <v>0</v>
      </c>
      <c r="P18" s="808">
        <v>0</v>
      </c>
      <c r="Q18" s="808">
        <v>0</v>
      </c>
      <c r="R18" s="790">
        <f>SUM(C18:Q18)</f>
        <v>10109.811562368688</v>
      </c>
    </row>
    <row r="19" spans="2:18" ht="14.25" customHeight="1">
      <c r="B19" s="988" t="s">
        <v>590</v>
      </c>
      <c r="C19" s="807">
        <v>0</v>
      </c>
      <c r="D19" s="807">
        <v>0</v>
      </c>
      <c r="E19" s="807">
        <v>0</v>
      </c>
      <c r="F19" s="808">
        <v>0</v>
      </c>
      <c r="G19" s="808">
        <v>0</v>
      </c>
      <c r="H19" s="808">
        <v>0</v>
      </c>
      <c r="I19" s="808">
        <v>0</v>
      </c>
      <c r="J19" s="808">
        <v>0</v>
      </c>
      <c r="K19" s="808">
        <v>0</v>
      </c>
      <c r="L19" s="808">
        <v>0</v>
      </c>
      <c r="M19" s="808">
        <v>0</v>
      </c>
      <c r="N19" s="808">
        <v>0</v>
      </c>
      <c r="O19" s="808">
        <v>0</v>
      </c>
      <c r="P19" s="808">
        <v>0</v>
      </c>
      <c r="Q19" s="808">
        <v>0</v>
      </c>
      <c r="R19" s="790">
        <v>0</v>
      </c>
    </row>
    <row r="20" spans="2:18" ht="14.25" customHeight="1">
      <c r="B20" s="846" t="s">
        <v>497</v>
      </c>
      <c r="C20" s="807">
        <v>0</v>
      </c>
      <c r="D20" s="807">
        <v>0</v>
      </c>
      <c r="E20" s="807">
        <v>0</v>
      </c>
      <c r="F20" s="808">
        <f>'Transport komercyjny_2020'!G18</f>
        <v>0</v>
      </c>
      <c r="G20" s="808">
        <v>0</v>
      </c>
      <c r="H20" s="808">
        <f>'Transport komercyjny_2024'!G17</f>
        <v>1889.0590846666394</v>
      </c>
      <c r="I20" s="808">
        <f>'Transport komercyjny_2024'!G16</f>
        <v>786.24920173141084</v>
      </c>
      <c r="J20" s="808">
        <v>0</v>
      </c>
      <c r="K20" s="808">
        <v>0</v>
      </c>
      <c r="L20" s="808">
        <v>0</v>
      </c>
      <c r="M20" s="808">
        <v>0</v>
      </c>
      <c r="N20" s="808">
        <v>0</v>
      </c>
      <c r="O20" s="808">
        <v>0</v>
      </c>
      <c r="P20" s="808">
        <v>0</v>
      </c>
      <c r="Q20" s="808">
        <v>0</v>
      </c>
      <c r="R20" s="790">
        <f>SUM(C20:Q20)</f>
        <v>2675.3082863980503</v>
      </c>
    </row>
    <row r="21" spans="2:18" ht="14.25" customHeight="1" thickBot="1">
      <c r="B21" s="855" t="s">
        <v>472</v>
      </c>
      <c r="C21" s="817">
        <f t="shared" ref="C21:R21" si="1">SUM(C16:C20)</f>
        <v>0</v>
      </c>
      <c r="D21" s="817">
        <f t="shared" si="1"/>
        <v>0</v>
      </c>
      <c r="E21" s="817">
        <f t="shared" si="1"/>
        <v>0</v>
      </c>
      <c r="F21" s="817">
        <f t="shared" si="1"/>
        <v>99.216652198380501</v>
      </c>
      <c r="G21" s="817">
        <f t="shared" si="1"/>
        <v>0</v>
      </c>
      <c r="H21" s="817">
        <f t="shared" si="1"/>
        <v>10358.044905414697</v>
      </c>
      <c r="I21" s="817">
        <f>SUM(I16:I20)</f>
        <v>2601.5356673327833</v>
      </c>
      <c r="J21" s="817">
        <f t="shared" si="1"/>
        <v>0</v>
      </c>
      <c r="K21" s="817">
        <f t="shared" si="1"/>
        <v>0</v>
      </c>
      <c r="L21" s="817">
        <f t="shared" si="1"/>
        <v>0</v>
      </c>
      <c r="M21" s="817">
        <f t="shared" si="1"/>
        <v>0</v>
      </c>
      <c r="N21" s="817">
        <f t="shared" si="1"/>
        <v>0</v>
      </c>
      <c r="O21" s="817">
        <f t="shared" si="1"/>
        <v>0</v>
      </c>
      <c r="P21" s="817">
        <f t="shared" si="1"/>
        <v>0</v>
      </c>
      <c r="Q21" s="817">
        <f t="shared" si="1"/>
        <v>0</v>
      </c>
      <c r="R21" s="802">
        <f t="shared" si="1"/>
        <v>13058.797224945862</v>
      </c>
    </row>
    <row r="22" spans="2:18" ht="14.25" customHeight="1">
      <c r="B22" s="856" t="s">
        <v>474</v>
      </c>
      <c r="C22" s="857"/>
      <c r="D22" s="858"/>
      <c r="E22" s="858"/>
      <c r="F22" s="858"/>
      <c r="G22" s="858"/>
      <c r="H22" s="858"/>
      <c r="I22" s="858"/>
      <c r="J22" s="858"/>
      <c r="K22" s="858"/>
      <c r="L22" s="858"/>
      <c r="M22" s="859"/>
      <c r="N22" s="859"/>
      <c r="O22" s="858"/>
      <c r="P22" s="859"/>
      <c r="Q22" s="860"/>
      <c r="R22" s="998"/>
    </row>
    <row r="23" spans="2:18" ht="14.25" customHeight="1">
      <c r="B23" s="861" t="s">
        <v>475</v>
      </c>
      <c r="C23" s="1351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  <c r="Q23" s="1353"/>
      <c r="R23" s="999"/>
    </row>
    <row r="24" spans="2:18" ht="14.25" customHeight="1" thickBot="1">
      <c r="B24" s="862" t="s">
        <v>476</v>
      </c>
      <c r="C24" s="1354"/>
      <c r="D24" s="1355"/>
      <c r="E24" s="1355"/>
      <c r="F24" s="1355"/>
      <c r="G24" s="1355"/>
      <c r="H24" s="1355"/>
      <c r="I24" s="1355"/>
      <c r="J24" s="1355"/>
      <c r="K24" s="1355"/>
      <c r="L24" s="1355"/>
      <c r="M24" s="1355"/>
      <c r="N24" s="1355"/>
      <c r="O24" s="1355"/>
      <c r="P24" s="1355"/>
      <c r="Q24" s="1356"/>
      <c r="R24" s="1000"/>
    </row>
    <row r="25" spans="2:18" ht="14.25" customHeight="1" thickTop="1" thickBot="1">
      <c r="B25" s="863" t="s">
        <v>379</v>
      </c>
      <c r="C25" s="864">
        <f t="shared" ref="C25:Q25" si="2">C14+C21</f>
        <v>21332.165680000002</v>
      </c>
      <c r="D25" s="864">
        <f t="shared" si="2"/>
        <v>2832.21</v>
      </c>
      <c r="E25" s="864">
        <f t="shared" si="2"/>
        <v>9418.203792389264</v>
      </c>
      <c r="F25" s="864">
        <f t="shared" si="2"/>
        <v>99.216652198380501</v>
      </c>
      <c r="G25" s="864">
        <f t="shared" si="2"/>
        <v>431.91123019669703</v>
      </c>
      <c r="H25" s="864">
        <f t="shared" si="2"/>
        <v>10358.044905414697</v>
      </c>
      <c r="I25" s="864">
        <f t="shared" si="2"/>
        <v>2601.5356673327833</v>
      </c>
      <c r="J25" s="864">
        <f t="shared" si="2"/>
        <v>0</v>
      </c>
      <c r="K25" s="864">
        <f t="shared" si="2"/>
        <v>9678.0599171085687</v>
      </c>
      <c r="L25" s="864">
        <f t="shared" si="2"/>
        <v>0</v>
      </c>
      <c r="M25" s="864">
        <f t="shared" si="2"/>
        <v>0</v>
      </c>
      <c r="N25" s="864">
        <f t="shared" si="2"/>
        <v>0</v>
      </c>
      <c r="O25" s="864">
        <f t="shared" si="2"/>
        <v>0</v>
      </c>
      <c r="P25" s="864">
        <f t="shared" si="2"/>
        <v>0</v>
      </c>
      <c r="Q25" s="865">
        <f t="shared" si="2"/>
        <v>0</v>
      </c>
      <c r="R25" s="1001">
        <f>R14+R21</f>
        <v>56751.34784464039</v>
      </c>
    </row>
    <row r="26" spans="2:18" ht="14.25" customHeight="1" thickTop="1" thickBot="1">
      <c r="B26" s="837"/>
      <c r="C26" s="866"/>
      <c r="D26" s="866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</row>
    <row r="27" spans="2:18" ht="24.75" customHeight="1" thickTop="1" thickBot="1">
      <c r="B27" s="868" t="s">
        <v>477</v>
      </c>
      <c r="C27" s="869"/>
      <c r="D27" s="870"/>
      <c r="E27" s="870"/>
      <c r="F27" s="871"/>
      <c r="G27" s="872"/>
      <c r="H27" s="870"/>
      <c r="I27" s="870"/>
      <c r="J27" s="871"/>
      <c r="K27" s="870"/>
      <c r="L27" s="870"/>
      <c r="M27" s="870"/>
      <c r="N27" s="871"/>
      <c r="O27" s="872"/>
      <c r="P27" s="870"/>
      <c r="Q27" s="873"/>
      <c r="R27" s="867"/>
    </row>
    <row r="28" spans="2:18" ht="36" customHeight="1" thickTop="1" thickBot="1">
      <c r="B28" s="874" t="s">
        <v>478</v>
      </c>
      <c r="C28" s="875"/>
      <c r="D28" s="876"/>
      <c r="E28" s="877"/>
      <c r="F28" s="877"/>
      <c r="G28" s="877"/>
      <c r="H28" s="877"/>
      <c r="I28" s="877"/>
      <c r="J28" s="877"/>
      <c r="K28" s="877"/>
      <c r="L28" s="877"/>
      <c r="M28" s="877"/>
      <c r="N28" s="877"/>
      <c r="O28" s="877"/>
      <c r="P28" s="877"/>
      <c r="Q28" s="877"/>
      <c r="R28" s="878"/>
    </row>
    <row r="29" spans="2:18" ht="14.25" customHeight="1" thickTop="1">
      <c r="B29" s="879"/>
      <c r="C29" s="880"/>
      <c r="D29" s="877"/>
      <c r="E29" s="877"/>
      <c r="F29" s="877"/>
      <c r="G29" s="877"/>
      <c r="H29" s="877"/>
      <c r="I29" s="877"/>
      <c r="J29" s="877"/>
      <c r="K29" s="877"/>
      <c r="L29" s="877"/>
      <c r="M29" s="877"/>
      <c r="N29" s="877"/>
      <c r="O29" s="877"/>
      <c r="P29" s="877"/>
      <c r="Q29" s="877"/>
      <c r="R29" s="867"/>
    </row>
    <row r="30" spans="2:18" ht="14.25" customHeight="1" thickBot="1">
      <c r="B30" s="879"/>
      <c r="C30" s="880"/>
      <c r="D30" s="877"/>
      <c r="E30" s="877"/>
      <c r="F30" s="877"/>
      <c r="G30" s="877"/>
      <c r="H30" s="877"/>
      <c r="I30" s="877"/>
      <c r="J30" s="877"/>
      <c r="K30" s="877"/>
      <c r="L30" s="877"/>
      <c r="M30" s="877"/>
      <c r="N30" s="877"/>
      <c r="O30" s="877"/>
      <c r="P30" s="877"/>
      <c r="Q30" s="877"/>
      <c r="R30" s="867"/>
    </row>
    <row r="31" spans="2:18" ht="14.25" customHeight="1" thickTop="1" thickBot="1">
      <c r="B31" s="1357" t="s">
        <v>376</v>
      </c>
      <c r="C31" s="1372" t="s">
        <v>749</v>
      </c>
      <c r="D31" s="1373"/>
      <c r="E31" s="1373"/>
      <c r="F31" s="1373"/>
      <c r="G31" s="1373"/>
      <c r="H31" s="1373"/>
      <c r="I31" s="1373"/>
      <c r="J31" s="1373"/>
      <c r="K31" s="1373"/>
      <c r="L31" s="1373"/>
      <c r="M31" s="1373"/>
      <c r="N31" s="1373"/>
      <c r="O31" s="1373"/>
      <c r="P31" s="1373"/>
      <c r="Q31" s="1373"/>
      <c r="R31" s="1374"/>
    </row>
    <row r="32" spans="2:18" ht="14.25" customHeight="1" thickTop="1">
      <c r="B32" s="1358"/>
      <c r="C32" s="1363" t="s">
        <v>113</v>
      </c>
      <c r="D32" s="1365" t="s">
        <v>60</v>
      </c>
      <c r="E32" s="1367" t="s">
        <v>377</v>
      </c>
      <c r="F32" s="1368"/>
      <c r="G32" s="1368"/>
      <c r="H32" s="1368"/>
      <c r="I32" s="1368"/>
      <c r="J32" s="1368"/>
      <c r="K32" s="1368"/>
      <c r="L32" s="1369"/>
      <c r="M32" s="1367" t="s">
        <v>378</v>
      </c>
      <c r="N32" s="1368"/>
      <c r="O32" s="1368"/>
      <c r="P32" s="1368"/>
      <c r="Q32" s="1370"/>
      <c r="R32" s="1333" t="s">
        <v>379</v>
      </c>
    </row>
    <row r="33" spans="2:18" ht="36.75" customHeight="1" thickBot="1">
      <c r="B33" s="1359"/>
      <c r="C33" s="1364"/>
      <c r="D33" s="1366"/>
      <c r="E33" s="781" t="s">
        <v>458</v>
      </c>
      <c r="F33" s="781" t="s">
        <v>380</v>
      </c>
      <c r="G33" s="781" t="s">
        <v>59</v>
      </c>
      <c r="H33" s="781" t="s">
        <v>81</v>
      </c>
      <c r="I33" s="781" t="s">
        <v>19</v>
      </c>
      <c r="J33" s="781" t="s">
        <v>459</v>
      </c>
      <c r="K33" s="838" t="s">
        <v>460</v>
      </c>
      <c r="L33" s="838" t="s">
        <v>461</v>
      </c>
      <c r="M33" s="781" t="s">
        <v>463</v>
      </c>
      <c r="N33" s="781" t="s">
        <v>462</v>
      </c>
      <c r="O33" s="781" t="s">
        <v>464</v>
      </c>
      <c r="P33" s="781" t="s">
        <v>465</v>
      </c>
      <c r="Q33" s="782" t="s">
        <v>466</v>
      </c>
      <c r="R33" s="1371"/>
    </row>
    <row r="34" spans="2:18" ht="14.25" customHeight="1" thickTop="1">
      <c r="B34" s="839" t="s">
        <v>467</v>
      </c>
      <c r="C34" s="840" t="s">
        <v>381</v>
      </c>
      <c r="D34" s="841"/>
      <c r="E34" s="842"/>
      <c r="F34" s="842"/>
      <c r="G34" s="842"/>
      <c r="H34" s="842"/>
      <c r="I34" s="842"/>
      <c r="J34" s="842"/>
      <c r="K34" s="842"/>
      <c r="L34" s="842"/>
      <c r="M34" s="843"/>
      <c r="N34" s="843"/>
      <c r="O34" s="842"/>
      <c r="P34" s="843"/>
      <c r="Q34" s="844"/>
      <c r="R34" s="845"/>
    </row>
    <row r="35" spans="2:18" ht="14.25" customHeight="1">
      <c r="B35" s="846" t="s">
        <v>468</v>
      </c>
      <c r="C35" s="807">
        <f>'En. elektryczna_2028'!F18</f>
        <v>1561.2851800000001</v>
      </c>
      <c r="D35" s="808">
        <f>'Ciepło sieciowe_2028'!G13</f>
        <v>948.81797343682285</v>
      </c>
      <c r="E35" s="808">
        <f>Gaz_2028!H18</f>
        <v>2798.557221548499</v>
      </c>
      <c r="F35" s="808">
        <v>0</v>
      </c>
      <c r="G35" s="808">
        <v>0</v>
      </c>
      <c r="H35" s="808">
        <v>0</v>
      </c>
      <c r="I35" s="808">
        <v>0</v>
      </c>
      <c r="J35" s="808">
        <v>0</v>
      </c>
      <c r="K35" s="808">
        <f>'Budynki komunalne_2014'!J8</f>
        <v>61.839743999999989</v>
      </c>
      <c r="L35" s="808">
        <v>0</v>
      </c>
      <c r="M35" s="808">
        <v>0</v>
      </c>
      <c r="N35" s="808">
        <v>0</v>
      </c>
      <c r="O35" s="808">
        <v>0</v>
      </c>
      <c r="P35" s="808">
        <v>0</v>
      </c>
      <c r="Q35" s="808">
        <v>0</v>
      </c>
      <c r="R35" s="790">
        <f>SUM(C35:Q35)</f>
        <v>5370.5001189853219</v>
      </c>
    </row>
    <row r="36" spans="2:18" ht="14.25" customHeight="1">
      <c r="B36" s="847" t="s">
        <v>469</v>
      </c>
      <c r="C36" s="807">
        <f>'En. elektryczna_2028'!F16</f>
        <v>8407.3667999999998</v>
      </c>
      <c r="D36" s="808">
        <f>'Ciepło sieciowe_2028'!G14</f>
        <v>31.5</v>
      </c>
      <c r="E36" s="808">
        <f>Gaz_2028!H16</f>
        <v>5665.4792123146981</v>
      </c>
      <c r="F36" s="808">
        <v>0</v>
      </c>
      <c r="G36" s="808">
        <f>'Budynki niekomunalne_2024'!L12</f>
        <v>9.8433468000000008</v>
      </c>
      <c r="H36" s="808">
        <v>0</v>
      </c>
      <c r="I36" s="808">
        <v>0</v>
      </c>
      <c r="J36" s="808">
        <v>0</v>
      </c>
      <c r="K36" s="808">
        <v>0</v>
      </c>
      <c r="L36" s="808">
        <v>0</v>
      </c>
      <c r="M36" s="808">
        <v>0</v>
      </c>
      <c r="N36" s="808">
        <v>0</v>
      </c>
      <c r="O36" s="808">
        <v>0</v>
      </c>
      <c r="P36" s="808">
        <v>0</v>
      </c>
      <c r="Q36" s="808">
        <v>0</v>
      </c>
      <c r="R36" s="790">
        <f>SUM(C36:Q36)</f>
        <v>14114.189359114698</v>
      </c>
    </row>
    <row r="37" spans="2:18" ht="14.25" customHeight="1">
      <c r="B37" s="846" t="s">
        <v>312</v>
      </c>
      <c r="C37" s="807">
        <f>'En. elektryczna_2028'!F17</f>
        <v>8412.6413646764413</v>
      </c>
      <c r="D37" s="808">
        <f>'Ciepło sieciowe_2028'!G12</f>
        <v>2527.11</v>
      </c>
      <c r="E37" s="808">
        <f>Gaz_2028!H17</f>
        <v>7286.6802816000009</v>
      </c>
      <c r="F37" s="808">
        <v>0</v>
      </c>
      <c r="G37" s="808">
        <f>'Ciepło_gosp. dom._2024'!J18</f>
        <v>181.76792341936871</v>
      </c>
      <c r="H37" s="808">
        <v>0</v>
      </c>
      <c r="I37" s="808">
        <v>0</v>
      </c>
      <c r="J37" s="808">
        <v>0</v>
      </c>
      <c r="K37" s="808">
        <f>'Ciepło_gosp. dom._2024'!J16</f>
        <v>5443.9442963875517</v>
      </c>
      <c r="L37" s="808">
        <v>0</v>
      </c>
      <c r="M37" s="808">
        <v>0</v>
      </c>
      <c r="N37" s="808">
        <v>0</v>
      </c>
      <c r="O37" s="808">
        <v>0</v>
      </c>
      <c r="P37" s="808">
        <v>0</v>
      </c>
      <c r="Q37" s="808">
        <v>0</v>
      </c>
      <c r="R37" s="790">
        <f>SUM(C37:Q37)</f>
        <v>23852.143866083363</v>
      </c>
    </row>
    <row r="38" spans="2:18" ht="14.25" customHeight="1">
      <c r="B38" s="846" t="s">
        <v>389</v>
      </c>
      <c r="C38" s="807">
        <f>'En. elektryczna_2028'!F19</f>
        <v>570.92532000000006</v>
      </c>
      <c r="D38" s="808">
        <v>0</v>
      </c>
      <c r="E38" s="808">
        <v>0</v>
      </c>
      <c r="F38" s="808">
        <v>0</v>
      </c>
      <c r="G38" s="808">
        <v>0</v>
      </c>
      <c r="H38" s="808">
        <v>0</v>
      </c>
      <c r="I38" s="808">
        <v>0</v>
      </c>
      <c r="J38" s="808">
        <v>0</v>
      </c>
      <c r="K38" s="808">
        <v>0</v>
      </c>
      <c r="L38" s="808">
        <v>0</v>
      </c>
      <c r="M38" s="808">
        <v>0</v>
      </c>
      <c r="N38" s="808">
        <v>0</v>
      </c>
      <c r="O38" s="808">
        <v>0</v>
      </c>
      <c r="P38" s="808">
        <v>0</v>
      </c>
      <c r="Q38" s="808">
        <v>0</v>
      </c>
      <c r="R38" s="790">
        <f>SUM(C38:Q38)</f>
        <v>570.92532000000006</v>
      </c>
    </row>
    <row r="39" spans="2:18" ht="14.25" customHeight="1">
      <c r="B39" s="848" t="s">
        <v>470</v>
      </c>
      <c r="C39" s="807">
        <f>'En. elektryczna_2028'!F15</f>
        <v>4233.093273233696</v>
      </c>
      <c r="D39" s="808">
        <f>'Ciepło sieciowe_2028'!G11</f>
        <v>0</v>
      </c>
      <c r="E39" s="808">
        <f>Gaz_2028!H15</f>
        <v>1642.9433616000001</v>
      </c>
      <c r="F39" s="808">
        <v>0</v>
      </c>
      <c r="G39" s="808">
        <v>0</v>
      </c>
      <c r="H39" s="808">
        <v>0</v>
      </c>
      <c r="I39" s="808">
        <v>0</v>
      </c>
      <c r="J39" s="808">
        <v>0</v>
      </c>
      <c r="K39" s="808">
        <v>0</v>
      </c>
      <c r="L39" s="808">
        <v>0</v>
      </c>
      <c r="M39" s="808">
        <v>0</v>
      </c>
      <c r="N39" s="808">
        <v>0</v>
      </c>
      <c r="O39" s="808">
        <v>0</v>
      </c>
      <c r="P39" s="808">
        <v>0</v>
      </c>
      <c r="Q39" s="808">
        <v>0</v>
      </c>
      <c r="R39" s="790">
        <f>SUM(C39:Q39)</f>
        <v>5876.0366348336956</v>
      </c>
    </row>
    <row r="40" spans="2:18" ht="14.25" customHeight="1" thickBot="1">
      <c r="B40" s="849" t="s">
        <v>471</v>
      </c>
      <c r="C40" s="817">
        <f>SUM(C35:C39)</f>
        <v>23185.311937910137</v>
      </c>
      <c r="D40" s="817">
        <f>SUM(D35:D39)</f>
        <v>3507.4279734368229</v>
      </c>
      <c r="E40" s="817">
        <f>SUM(E35:E39)</f>
        <v>17393.660077063196</v>
      </c>
      <c r="F40" s="817">
        <f t="shared" ref="F40:R40" si="3">SUM(F35:F39)</f>
        <v>0</v>
      </c>
      <c r="G40" s="817">
        <f t="shared" si="3"/>
        <v>191.61127021936872</v>
      </c>
      <c r="H40" s="817">
        <f t="shared" si="3"/>
        <v>0</v>
      </c>
      <c r="I40" s="817">
        <f t="shared" si="3"/>
        <v>0</v>
      </c>
      <c r="J40" s="817">
        <f t="shared" si="3"/>
        <v>0</v>
      </c>
      <c r="K40" s="817">
        <f t="shared" si="3"/>
        <v>5505.7840403875516</v>
      </c>
      <c r="L40" s="817">
        <f t="shared" si="3"/>
        <v>0</v>
      </c>
      <c r="M40" s="817">
        <f t="shared" si="3"/>
        <v>0</v>
      </c>
      <c r="N40" s="817">
        <f t="shared" si="3"/>
        <v>0</v>
      </c>
      <c r="O40" s="817">
        <f t="shared" si="3"/>
        <v>0</v>
      </c>
      <c r="P40" s="817">
        <f t="shared" si="3"/>
        <v>0</v>
      </c>
      <c r="Q40" s="850">
        <f t="shared" si="3"/>
        <v>0</v>
      </c>
      <c r="R40" s="997">
        <f t="shared" si="3"/>
        <v>49783.795299017082</v>
      </c>
    </row>
    <row r="41" spans="2:18" ht="14.25" customHeight="1">
      <c r="B41" s="839" t="s">
        <v>384</v>
      </c>
      <c r="C41" s="851"/>
      <c r="D41" s="852"/>
      <c r="E41" s="852"/>
      <c r="F41" s="852"/>
      <c r="G41" s="852"/>
      <c r="H41" s="852"/>
      <c r="I41" s="852"/>
      <c r="J41" s="852"/>
      <c r="K41" s="852"/>
      <c r="L41" s="852"/>
      <c r="M41" s="853"/>
      <c r="N41" s="853"/>
      <c r="O41" s="852"/>
      <c r="P41" s="853"/>
      <c r="Q41" s="854"/>
      <c r="R41" s="998"/>
    </row>
    <row r="42" spans="2:18" ht="14.25" customHeight="1">
      <c r="B42" s="846" t="s">
        <v>348</v>
      </c>
      <c r="C42" s="807">
        <v>0</v>
      </c>
      <c r="D42" s="807">
        <v>0</v>
      </c>
      <c r="E42" s="807">
        <v>0</v>
      </c>
      <c r="F42" s="808">
        <f>'Tabor gminny_2024'!F49</f>
        <v>8.6332824507686396</v>
      </c>
      <c r="G42" s="808">
        <v>0</v>
      </c>
      <c r="H42" s="808">
        <f>'Tabor gminny_2024'!F48</f>
        <v>163.08979782591385</v>
      </c>
      <c r="I42" s="808">
        <f>'Tabor gminny_2024'!F47</f>
        <v>69.360005088460795</v>
      </c>
      <c r="J42" s="808">
        <v>0</v>
      </c>
      <c r="K42" s="808">
        <v>0</v>
      </c>
      <c r="L42" s="808">
        <v>0</v>
      </c>
      <c r="M42" s="808">
        <v>0</v>
      </c>
      <c r="N42" s="808">
        <v>0</v>
      </c>
      <c r="O42" s="808">
        <v>0</v>
      </c>
      <c r="P42" s="808">
        <v>0</v>
      </c>
      <c r="Q42" s="808">
        <v>0</v>
      </c>
      <c r="R42" s="790">
        <f>SUM(C42:Q42)</f>
        <v>241.08308536514329</v>
      </c>
    </row>
    <row r="43" spans="2:18" ht="14.25" customHeight="1">
      <c r="B43" s="846" t="s">
        <v>512</v>
      </c>
      <c r="C43" s="807">
        <v>0</v>
      </c>
      <c r="D43" s="807">
        <v>0</v>
      </c>
      <c r="E43" s="807">
        <v>0</v>
      </c>
      <c r="F43" s="808">
        <f>'Transport kom. autobusy_2024'!G27</f>
        <v>0</v>
      </c>
      <c r="G43" s="808">
        <v>0</v>
      </c>
      <c r="H43" s="808">
        <f>'Transport kom. autobusy_2024'!G26</f>
        <v>32.594290813980002</v>
      </c>
      <c r="I43" s="808">
        <f>'Transport kom. autobusy_2024'!G25</f>
        <v>0</v>
      </c>
      <c r="J43" s="808">
        <v>0</v>
      </c>
      <c r="K43" s="808">
        <v>0</v>
      </c>
      <c r="L43" s="808">
        <v>0</v>
      </c>
      <c r="M43" s="808">
        <v>0</v>
      </c>
      <c r="N43" s="808">
        <v>0</v>
      </c>
      <c r="O43" s="808">
        <v>0</v>
      </c>
      <c r="P43" s="808">
        <v>0</v>
      </c>
      <c r="Q43" s="808">
        <v>0</v>
      </c>
      <c r="R43" s="790">
        <f>SUM(C43:Q43)</f>
        <v>32.594290813980002</v>
      </c>
    </row>
    <row r="44" spans="2:18" ht="14.25" customHeight="1">
      <c r="B44" s="846" t="s">
        <v>356</v>
      </c>
      <c r="C44" s="807">
        <v>0</v>
      </c>
      <c r="D44" s="807">
        <v>0</v>
      </c>
      <c r="E44" s="807">
        <v>0</v>
      </c>
      <c r="F44" s="808">
        <f>'Transport prywatny_2024'!G37</f>
        <v>2362.004094173577</v>
      </c>
      <c r="G44" s="808">
        <v>0</v>
      </c>
      <c r="H44" s="808">
        <f>'Transport prywatny_2024'!G36</f>
        <v>4905.743396765909</v>
      </c>
      <c r="I44" s="808">
        <f>'Transport prywatny_2024'!G35</f>
        <v>3815.9034207511454</v>
      </c>
      <c r="J44" s="808">
        <v>0</v>
      </c>
      <c r="K44" s="808">
        <v>0</v>
      </c>
      <c r="L44" s="808">
        <v>0</v>
      </c>
      <c r="M44" s="808">
        <v>0</v>
      </c>
      <c r="N44" s="808">
        <v>0</v>
      </c>
      <c r="O44" s="808">
        <v>0</v>
      </c>
      <c r="P44" s="808">
        <v>0</v>
      </c>
      <c r="Q44" s="808">
        <v>0</v>
      </c>
      <c r="R44" s="790">
        <f>SUM(C44:Q44)</f>
        <v>11083.650911690631</v>
      </c>
    </row>
    <row r="45" spans="2:18" ht="14.25" customHeight="1">
      <c r="B45" s="988" t="s">
        <v>590</v>
      </c>
      <c r="C45" s="807">
        <v>0</v>
      </c>
      <c r="D45" s="807">
        <v>0</v>
      </c>
      <c r="E45" s="807">
        <v>0</v>
      </c>
      <c r="F45" s="808">
        <v>0</v>
      </c>
      <c r="G45" s="808">
        <v>0</v>
      </c>
      <c r="H45" s="808">
        <v>0</v>
      </c>
      <c r="I45" s="808">
        <v>0</v>
      </c>
      <c r="J45" s="808">
        <v>0</v>
      </c>
      <c r="K45" s="808">
        <v>0</v>
      </c>
      <c r="L45" s="808">
        <v>0</v>
      </c>
      <c r="M45" s="808">
        <v>0</v>
      </c>
      <c r="N45" s="808">
        <v>0</v>
      </c>
      <c r="O45" s="808">
        <v>0</v>
      </c>
      <c r="P45" s="808">
        <v>0</v>
      </c>
      <c r="Q45" s="808">
        <v>0</v>
      </c>
      <c r="R45" s="790">
        <v>0</v>
      </c>
    </row>
    <row r="46" spans="2:18" ht="14.25" customHeight="1">
      <c r="B46" s="846" t="s">
        <v>497</v>
      </c>
      <c r="C46" s="807">
        <v>0</v>
      </c>
      <c r="D46" s="807">
        <v>0</v>
      </c>
      <c r="E46" s="807">
        <v>0</v>
      </c>
      <c r="F46" s="808">
        <f>'Transport komercyjny_2020'!G44</f>
        <v>0</v>
      </c>
      <c r="G46" s="808">
        <v>0</v>
      </c>
      <c r="H46" s="808">
        <f>'Transport komercyjny_2024'!G32</f>
        <v>2526.8749226489313</v>
      </c>
      <c r="I46" s="808">
        <f>'Transport komercyjny_2024'!G31</f>
        <v>990.48891818169056</v>
      </c>
      <c r="J46" s="808">
        <v>0</v>
      </c>
      <c r="K46" s="808">
        <v>0</v>
      </c>
      <c r="L46" s="808">
        <v>0</v>
      </c>
      <c r="M46" s="808">
        <v>0</v>
      </c>
      <c r="N46" s="808">
        <v>0</v>
      </c>
      <c r="O46" s="808">
        <v>0</v>
      </c>
      <c r="P46" s="808">
        <v>0</v>
      </c>
      <c r="Q46" s="808">
        <v>0</v>
      </c>
      <c r="R46" s="790">
        <f>SUM(C46:Q46)</f>
        <v>3517.3638408306219</v>
      </c>
    </row>
    <row r="47" spans="2:18" ht="14.25" customHeight="1" thickBot="1">
      <c r="B47" s="855" t="s">
        <v>472</v>
      </c>
      <c r="C47" s="817">
        <f t="shared" ref="C47:H47" si="4">SUM(C42:C46)</f>
        <v>0</v>
      </c>
      <c r="D47" s="817">
        <f t="shared" si="4"/>
        <v>0</v>
      </c>
      <c r="E47" s="817">
        <f t="shared" si="4"/>
        <v>0</v>
      </c>
      <c r="F47" s="817">
        <f t="shared" si="4"/>
        <v>2370.6373766243455</v>
      </c>
      <c r="G47" s="817">
        <f t="shared" si="4"/>
        <v>0</v>
      </c>
      <c r="H47" s="817">
        <f t="shared" si="4"/>
        <v>7628.3024080547348</v>
      </c>
      <c r="I47" s="817">
        <f>SUM(I42:I46)</f>
        <v>4875.7523440212963</v>
      </c>
      <c r="J47" s="817">
        <f t="shared" ref="J47:R47" si="5">SUM(J42:J46)</f>
        <v>0</v>
      </c>
      <c r="K47" s="817">
        <f t="shared" si="5"/>
        <v>0</v>
      </c>
      <c r="L47" s="817">
        <f t="shared" si="5"/>
        <v>0</v>
      </c>
      <c r="M47" s="817">
        <f t="shared" si="5"/>
        <v>0</v>
      </c>
      <c r="N47" s="817">
        <f t="shared" si="5"/>
        <v>0</v>
      </c>
      <c r="O47" s="817">
        <f t="shared" si="5"/>
        <v>0</v>
      </c>
      <c r="P47" s="817">
        <f t="shared" si="5"/>
        <v>0</v>
      </c>
      <c r="Q47" s="817">
        <f t="shared" si="5"/>
        <v>0</v>
      </c>
      <c r="R47" s="802">
        <f t="shared" si="5"/>
        <v>14874.692128700375</v>
      </c>
    </row>
    <row r="48" spans="2:18" ht="14.25" customHeight="1">
      <c r="B48" s="856" t="s">
        <v>474</v>
      </c>
      <c r="C48" s="857"/>
      <c r="D48" s="858"/>
      <c r="E48" s="858"/>
      <c r="F48" s="858"/>
      <c r="G48" s="858"/>
      <c r="H48" s="858"/>
      <c r="I48" s="858"/>
      <c r="J48" s="858"/>
      <c r="K48" s="858"/>
      <c r="L48" s="858"/>
      <c r="M48" s="859"/>
      <c r="N48" s="859"/>
      <c r="O48" s="858"/>
      <c r="P48" s="859"/>
      <c r="Q48" s="860"/>
      <c r="R48" s="998"/>
    </row>
    <row r="49" spans="2:20" ht="14.25" customHeight="1">
      <c r="B49" s="861" t="s">
        <v>475</v>
      </c>
      <c r="C49" s="1351"/>
      <c r="D49" s="1352"/>
      <c r="E49" s="1352"/>
      <c r="F49" s="1352"/>
      <c r="G49" s="1352"/>
      <c r="H49" s="1352"/>
      <c r="I49" s="1352"/>
      <c r="J49" s="1352"/>
      <c r="K49" s="1352"/>
      <c r="L49" s="1352"/>
      <c r="M49" s="1352"/>
      <c r="N49" s="1352"/>
      <c r="O49" s="1352"/>
      <c r="P49" s="1352"/>
      <c r="Q49" s="1353"/>
      <c r="R49" s="999"/>
    </row>
    <row r="50" spans="2:20" ht="14.25" customHeight="1" thickBot="1">
      <c r="B50" s="862" t="s">
        <v>476</v>
      </c>
      <c r="C50" s="1354"/>
      <c r="D50" s="1355"/>
      <c r="E50" s="1355"/>
      <c r="F50" s="1355"/>
      <c r="G50" s="1355"/>
      <c r="H50" s="1355"/>
      <c r="I50" s="1355"/>
      <c r="J50" s="1355"/>
      <c r="K50" s="1355"/>
      <c r="L50" s="1355"/>
      <c r="M50" s="1355"/>
      <c r="N50" s="1355"/>
      <c r="O50" s="1355"/>
      <c r="P50" s="1355"/>
      <c r="Q50" s="1356"/>
      <c r="R50" s="1000"/>
    </row>
    <row r="51" spans="2:20" ht="14.25" customHeight="1" thickTop="1" thickBot="1">
      <c r="B51" s="863" t="s">
        <v>379</v>
      </c>
      <c r="C51" s="864">
        <f t="shared" ref="C51:Q51" si="6">C40+C47</f>
        <v>23185.311937910137</v>
      </c>
      <c r="D51" s="864">
        <f t="shared" si="6"/>
        <v>3507.4279734368229</v>
      </c>
      <c r="E51" s="864">
        <f t="shared" si="6"/>
        <v>17393.660077063196</v>
      </c>
      <c r="F51" s="864">
        <f t="shared" si="6"/>
        <v>2370.6373766243455</v>
      </c>
      <c r="G51" s="864">
        <f t="shared" si="6"/>
        <v>191.61127021936872</v>
      </c>
      <c r="H51" s="864">
        <f t="shared" si="6"/>
        <v>7628.3024080547348</v>
      </c>
      <c r="I51" s="864">
        <f t="shared" si="6"/>
        <v>4875.7523440212963</v>
      </c>
      <c r="J51" s="864">
        <f t="shared" si="6"/>
        <v>0</v>
      </c>
      <c r="K51" s="864">
        <f t="shared" si="6"/>
        <v>5505.7840403875516</v>
      </c>
      <c r="L51" s="864">
        <f t="shared" si="6"/>
        <v>0</v>
      </c>
      <c r="M51" s="864">
        <f t="shared" si="6"/>
        <v>0</v>
      </c>
      <c r="N51" s="864">
        <f t="shared" si="6"/>
        <v>0</v>
      </c>
      <c r="O51" s="864">
        <f t="shared" si="6"/>
        <v>0</v>
      </c>
      <c r="P51" s="864">
        <f t="shared" si="6"/>
        <v>0</v>
      </c>
      <c r="Q51" s="865">
        <f t="shared" si="6"/>
        <v>0</v>
      </c>
      <c r="R51" s="1001">
        <f>R40+R47</f>
        <v>64658.487427717453</v>
      </c>
    </row>
    <row r="52" spans="2:20" ht="14.25" customHeight="1" thickTop="1" thickBot="1">
      <c r="B52" s="837"/>
      <c r="C52" s="866"/>
      <c r="D52" s="866"/>
      <c r="E52" s="867"/>
      <c r="F52" s="867"/>
      <c r="G52" s="867"/>
      <c r="H52" s="867"/>
      <c r="I52" s="867"/>
      <c r="J52" s="867"/>
      <c r="K52" s="867"/>
      <c r="L52" s="867"/>
      <c r="M52" s="867"/>
      <c r="N52" s="867"/>
      <c r="O52" s="867"/>
      <c r="P52" s="867"/>
      <c r="Q52" s="867"/>
      <c r="R52" s="867"/>
    </row>
    <row r="53" spans="2:20" ht="24.75" customHeight="1" thickTop="1" thickBot="1">
      <c r="B53" s="868" t="s">
        <v>477</v>
      </c>
      <c r="C53" s="869"/>
      <c r="D53" s="870"/>
      <c r="E53" s="870"/>
      <c r="F53" s="871"/>
      <c r="G53" s="872"/>
      <c r="H53" s="870"/>
      <c r="I53" s="870"/>
      <c r="J53" s="871"/>
      <c r="K53" s="870"/>
      <c r="L53" s="870"/>
      <c r="M53" s="870"/>
      <c r="N53" s="871"/>
      <c r="O53" s="872"/>
      <c r="P53" s="870"/>
      <c r="Q53" s="873"/>
      <c r="R53" s="867"/>
    </row>
    <row r="54" spans="2:20" ht="36" customHeight="1" thickTop="1" thickBot="1">
      <c r="B54" s="874" t="s">
        <v>478</v>
      </c>
      <c r="C54" s="875"/>
      <c r="D54" s="876"/>
      <c r="E54" s="877"/>
      <c r="F54" s="877"/>
      <c r="G54" s="877"/>
      <c r="H54" s="877"/>
      <c r="I54" s="877"/>
      <c r="J54" s="877"/>
      <c r="K54" s="877"/>
      <c r="L54" s="877"/>
      <c r="M54" s="877"/>
      <c r="N54" s="877"/>
      <c r="O54" s="877"/>
      <c r="P54" s="877"/>
      <c r="Q54" s="877"/>
      <c r="R54" s="878"/>
    </row>
    <row r="55" spans="2:20" ht="14.25" customHeight="1" thickTop="1">
      <c r="B55" s="879"/>
      <c r="C55" s="880"/>
      <c r="D55" s="877"/>
      <c r="E55" s="877"/>
      <c r="F55" s="877"/>
      <c r="G55" s="877"/>
      <c r="H55" s="877"/>
      <c r="I55" s="877"/>
      <c r="J55" s="877"/>
      <c r="K55" s="877"/>
      <c r="L55" s="877"/>
      <c r="M55" s="877"/>
      <c r="N55" s="877"/>
      <c r="O55" s="877"/>
      <c r="P55" s="877"/>
      <c r="Q55" s="877"/>
      <c r="R55" s="867"/>
    </row>
    <row r="56" spans="2:20" ht="14.25" customHeight="1" thickBot="1">
      <c r="B56" s="879"/>
      <c r="C56" s="880"/>
      <c r="D56" s="877"/>
      <c r="E56" s="877"/>
      <c r="F56" s="877"/>
      <c r="G56" s="877"/>
      <c r="H56" s="877"/>
      <c r="I56" s="877"/>
      <c r="J56" s="877"/>
      <c r="K56" s="877"/>
      <c r="L56" s="877"/>
      <c r="M56" s="877"/>
      <c r="N56" s="877"/>
      <c r="O56" s="877"/>
      <c r="P56" s="877"/>
      <c r="Q56" s="877"/>
      <c r="R56" s="867"/>
    </row>
    <row r="57" spans="2:20" ht="21.75" customHeight="1" thickTop="1" thickBot="1">
      <c r="B57" s="1357" t="s">
        <v>376</v>
      </c>
      <c r="C57" s="1360" t="s">
        <v>750</v>
      </c>
      <c r="D57" s="1361"/>
      <c r="E57" s="1361"/>
      <c r="F57" s="1361"/>
      <c r="G57" s="1361"/>
      <c r="H57" s="1361"/>
      <c r="I57" s="1361"/>
      <c r="J57" s="1361"/>
      <c r="K57" s="1361"/>
      <c r="L57" s="1361"/>
      <c r="M57" s="1361"/>
      <c r="N57" s="1361"/>
      <c r="O57" s="1361"/>
      <c r="P57" s="1361"/>
      <c r="Q57" s="1361"/>
      <c r="R57" s="1362"/>
    </row>
    <row r="58" spans="2:20" ht="27.75" customHeight="1" thickTop="1">
      <c r="B58" s="1358"/>
      <c r="C58" s="1363" t="s">
        <v>113</v>
      </c>
      <c r="D58" s="1365" t="s">
        <v>60</v>
      </c>
      <c r="E58" s="1367" t="s">
        <v>377</v>
      </c>
      <c r="F58" s="1368"/>
      <c r="G58" s="1368"/>
      <c r="H58" s="1368"/>
      <c r="I58" s="1368"/>
      <c r="J58" s="1368"/>
      <c r="K58" s="1368"/>
      <c r="L58" s="1369"/>
      <c r="M58" s="1367" t="s">
        <v>378</v>
      </c>
      <c r="N58" s="1368"/>
      <c r="O58" s="1368"/>
      <c r="P58" s="1368"/>
      <c r="Q58" s="1370"/>
      <c r="R58" s="1333" t="s">
        <v>379</v>
      </c>
    </row>
    <row r="59" spans="2:20" ht="39" customHeight="1" thickBot="1">
      <c r="B59" s="1359"/>
      <c r="C59" s="1364"/>
      <c r="D59" s="1366"/>
      <c r="E59" s="781" t="s">
        <v>458</v>
      </c>
      <c r="F59" s="781" t="s">
        <v>380</v>
      </c>
      <c r="G59" s="781" t="s">
        <v>59</v>
      </c>
      <c r="H59" s="781" t="s">
        <v>81</v>
      </c>
      <c r="I59" s="781" t="s">
        <v>19</v>
      </c>
      <c r="J59" s="781" t="s">
        <v>459</v>
      </c>
      <c r="K59" s="838" t="s">
        <v>460</v>
      </c>
      <c r="L59" s="838" t="s">
        <v>461</v>
      </c>
      <c r="M59" s="781" t="s">
        <v>463</v>
      </c>
      <c r="N59" s="781" t="s">
        <v>462</v>
      </c>
      <c r="O59" s="781" t="s">
        <v>464</v>
      </c>
      <c r="P59" s="781" t="s">
        <v>465</v>
      </c>
      <c r="Q59" s="782" t="s">
        <v>466</v>
      </c>
      <c r="R59" s="1371"/>
    </row>
    <row r="60" spans="2:20" ht="20.25" customHeight="1" thickTop="1">
      <c r="B60" s="839" t="s">
        <v>467</v>
      </c>
      <c r="C60" s="840" t="s">
        <v>381</v>
      </c>
      <c r="D60" s="841"/>
      <c r="E60" s="842"/>
      <c r="F60" s="842"/>
      <c r="G60" s="842"/>
      <c r="H60" s="842"/>
      <c r="I60" s="842"/>
      <c r="J60" s="842"/>
      <c r="K60" s="842"/>
      <c r="L60" s="842"/>
      <c r="M60" s="843"/>
      <c r="N60" s="843"/>
      <c r="O60" s="842"/>
      <c r="P60" s="843"/>
      <c r="Q60" s="844"/>
      <c r="R60" s="845"/>
      <c r="T60" s="810">
        <f>R66-R14</f>
        <v>-129.31801927396009</v>
      </c>
    </row>
    <row r="61" spans="2:20" ht="20.25" customHeight="1">
      <c r="B61" s="846" t="s">
        <v>468</v>
      </c>
      <c r="C61" s="807">
        <f>'En. elektryczna_2028'!F26</f>
        <v>209.39884634760705</v>
      </c>
      <c r="D61" s="808">
        <f>'Ciepło sieciowe_2028'!G19</f>
        <v>1125.8999999999999</v>
      </c>
      <c r="E61" s="808">
        <f>Gaz_2028!H27</f>
        <v>2018.7334073431041</v>
      </c>
      <c r="F61" s="808">
        <v>0</v>
      </c>
      <c r="G61" s="808">
        <v>0</v>
      </c>
      <c r="H61" s="808">
        <v>0</v>
      </c>
      <c r="I61" s="808">
        <v>0</v>
      </c>
      <c r="J61" s="808">
        <v>0</v>
      </c>
      <c r="K61" s="808">
        <f>'Budynki komunalne_2014'!J8</f>
        <v>61.839743999999989</v>
      </c>
      <c r="L61" s="808">
        <v>0</v>
      </c>
      <c r="M61" s="808">
        <v>0</v>
      </c>
      <c r="N61" s="808">
        <v>0</v>
      </c>
      <c r="O61" s="808">
        <v>0</v>
      </c>
      <c r="P61" s="808">
        <v>0</v>
      </c>
      <c r="Q61" s="808">
        <v>0</v>
      </c>
      <c r="R61" s="790">
        <f>SUM(C61:Q61)</f>
        <v>3415.8719976907109</v>
      </c>
    </row>
    <row r="62" spans="2:20" ht="14.25" customHeight="1">
      <c r="B62" s="847" t="s">
        <v>469</v>
      </c>
      <c r="C62" s="807">
        <f>'En. elektryczna_2028'!F24</f>
        <v>7412.0362216624681</v>
      </c>
      <c r="D62" s="808">
        <f>'Ciepło sieciowe_2028'!G20</f>
        <v>25.02</v>
      </c>
      <c r="E62" s="808">
        <f>Gaz_2028!H25</f>
        <v>5042.2658274980122</v>
      </c>
      <c r="F62" s="808">
        <v>0</v>
      </c>
      <c r="G62" s="808">
        <f>'Budynki niekomunalne_2024'!L12</f>
        <v>9.8433468000000008</v>
      </c>
      <c r="H62" s="808">
        <v>0</v>
      </c>
      <c r="I62" s="808">
        <v>0</v>
      </c>
      <c r="J62" s="808">
        <v>0</v>
      </c>
      <c r="K62" s="808">
        <v>0</v>
      </c>
      <c r="L62" s="808">
        <v>0</v>
      </c>
      <c r="M62" s="808">
        <v>0</v>
      </c>
      <c r="N62" s="808">
        <v>0</v>
      </c>
      <c r="O62" s="808">
        <v>0</v>
      </c>
      <c r="P62" s="808">
        <v>0</v>
      </c>
      <c r="Q62" s="808">
        <v>0</v>
      </c>
      <c r="R62" s="790">
        <f>SUM(C62:Q62)</f>
        <v>12489.165395960481</v>
      </c>
    </row>
    <row r="63" spans="2:20" ht="14.25" customHeight="1">
      <c r="B63" s="846" t="s">
        <v>312</v>
      </c>
      <c r="C63" s="807">
        <f>'En. elektryczna_2028'!F25</f>
        <v>6578.1776725440814</v>
      </c>
      <c r="D63" s="808">
        <f>'Ciepło sieciowe_2028'!G18</f>
        <v>2998.89</v>
      </c>
      <c r="E63" s="808">
        <f>Gaz_2028!H26</f>
        <v>6485.1317254774922</v>
      </c>
      <c r="F63" s="808">
        <v>0</v>
      </c>
      <c r="G63" s="808">
        <f>'Ciepło_gosp. dom._2024'!J27</f>
        <v>189.57940955674931</v>
      </c>
      <c r="H63" s="808">
        <v>0</v>
      </c>
      <c r="I63" s="808">
        <v>0</v>
      </c>
      <c r="J63" s="808">
        <v>0</v>
      </c>
      <c r="K63" s="808">
        <f>'Ciepło_gosp. dom._2024'!J25</f>
        <v>5677.8980908961166</v>
      </c>
      <c r="L63" s="808">
        <v>0</v>
      </c>
      <c r="M63" s="808">
        <v>0</v>
      </c>
      <c r="N63" s="808">
        <v>0</v>
      </c>
      <c r="O63" s="808">
        <v>0</v>
      </c>
      <c r="P63" s="808">
        <v>0</v>
      </c>
      <c r="Q63" s="808">
        <v>0</v>
      </c>
      <c r="R63" s="790">
        <f>SUM(C63:Q63)</f>
        <v>21929.676898474441</v>
      </c>
    </row>
    <row r="64" spans="2:20" ht="14.25" customHeight="1">
      <c r="B64" s="846" t="s">
        <v>389</v>
      </c>
      <c r="C64" s="807">
        <f>'En. elektryczna_2028'!F27</f>
        <v>576.9634483886274</v>
      </c>
      <c r="D64" s="808">
        <f>'Oświetlenie komunalne_2028'!E33</f>
        <v>0</v>
      </c>
      <c r="E64" s="808">
        <v>0</v>
      </c>
      <c r="F64" s="808">
        <v>0</v>
      </c>
      <c r="G64" s="808">
        <v>0</v>
      </c>
      <c r="H64" s="808">
        <v>0</v>
      </c>
      <c r="I64" s="808">
        <v>0</v>
      </c>
      <c r="J64" s="808">
        <v>0</v>
      </c>
      <c r="K64" s="808">
        <v>0</v>
      </c>
      <c r="L64" s="808">
        <v>0</v>
      </c>
      <c r="M64" s="808">
        <v>0</v>
      </c>
      <c r="N64" s="808">
        <v>0</v>
      </c>
      <c r="O64" s="808">
        <v>0</v>
      </c>
      <c r="P64" s="808">
        <v>0</v>
      </c>
      <c r="Q64" s="808">
        <v>0</v>
      </c>
      <c r="R64" s="790">
        <f>SUM(C64:Q64)</f>
        <v>576.9634483886274</v>
      </c>
    </row>
    <row r="65" spans="2:20" ht="14.25" customHeight="1">
      <c r="B65" s="848" t="s">
        <v>470</v>
      </c>
      <c r="C65" s="807">
        <f>'En. elektryczna_2028'!F23</f>
        <v>3689.338362720403</v>
      </c>
      <c r="D65" s="808">
        <f>'Ciepło sieciowe_2028'!G17</f>
        <v>0</v>
      </c>
      <c r="E65" s="808">
        <f>Gaz_2028!H24</f>
        <v>1462.2164971859106</v>
      </c>
      <c r="F65" s="808">
        <v>0</v>
      </c>
      <c r="G65" s="808">
        <v>0</v>
      </c>
      <c r="H65" s="808">
        <v>0</v>
      </c>
      <c r="I65" s="808">
        <v>0</v>
      </c>
      <c r="J65" s="808">
        <v>0</v>
      </c>
      <c r="K65" s="808">
        <v>0</v>
      </c>
      <c r="L65" s="808">
        <v>0</v>
      </c>
      <c r="M65" s="808">
        <v>0</v>
      </c>
      <c r="N65" s="808">
        <v>0</v>
      </c>
      <c r="O65" s="808">
        <v>0</v>
      </c>
      <c r="P65" s="808">
        <v>0</v>
      </c>
      <c r="Q65" s="808">
        <v>0</v>
      </c>
      <c r="R65" s="790">
        <f>SUM(C65:Q65)</f>
        <v>5151.5548599063131</v>
      </c>
    </row>
    <row r="66" spans="2:20" ht="14.25" customHeight="1" thickBot="1">
      <c r="B66" s="881" t="s">
        <v>471</v>
      </c>
      <c r="C66" s="817">
        <f>SUM(C61:C65)</f>
        <v>18465.914551663187</v>
      </c>
      <c r="D66" s="817">
        <f t="shared" ref="D66:R66" si="7">SUM(D61:D65)</f>
        <v>4149.8099999999995</v>
      </c>
      <c r="E66" s="817">
        <f t="shared" si="7"/>
        <v>15008.34745750452</v>
      </c>
      <c r="F66" s="817">
        <f t="shared" si="7"/>
        <v>0</v>
      </c>
      <c r="G66" s="817">
        <f t="shared" si="7"/>
        <v>199.42275635674932</v>
      </c>
      <c r="H66" s="817">
        <f t="shared" si="7"/>
        <v>0</v>
      </c>
      <c r="I66" s="817">
        <f t="shared" si="7"/>
        <v>0</v>
      </c>
      <c r="J66" s="817">
        <f t="shared" si="7"/>
        <v>0</v>
      </c>
      <c r="K66" s="817">
        <f t="shared" si="7"/>
        <v>5739.7378348961165</v>
      </c>
      <c r="L66" s="817">
        <f t="shared" si="7"/>
        <v>0</v>
      </c>
      <c r="M66" s="817">
        <f t="shared" si="7"/>
        <v>0</v>
      </c>
      <c r="N66" s="817">
        <f t="shared" si="7"/>
        <v>0</v>
      </c>
      <c r="O66" s="817">
        <f t="shared" si="7"/>
        <v>0</v>
      </c>
      <c r="P66" s="817">
        <f t="shared" si="7"/>
        <v>0</v>
      </c>
      <c r="Q66" s="850">
        <f t="shared" si="7"/>
        <v>0</v>
      </c>
      <c r="R66" s="997">
        <f t="shared" si="7"/>
        <v>43563.232600420568</v>
      </c>
    </row>
    <row r="67" spans="2:20" ht="14.25" customHeight="1">
      <c r="B67" s="839" t="s">
        <v>384</v>
      </c>
      <c r="C67" s="851"/>
      <c r="D67" s="852"/>
      <c r="E67" s="852"/>
      <c r="F67" s="852"/>
      <c r="G67" s="852"/>
      <c r="H67" s="852"/>
      <c r="I67" s="852"/>
      <c r="J67" s="852"/>
      <c r="K67" s="852"/>
      <c r="L67" s="852"/>
      <c r="M67" s="853"/>
      <c r="N67" s="853"/>
      <c r="O67" s="852"/>
      <c r="P67" s="853"/>
      <c r="Q67" s="854"/>
      <c r="R67" s="998"/>
    </row>
    <row r="68" spans="2:20" ht="14.25" customHeight="1">
      <c r="B68" s="846" t="s">
        <v>348</v>
      </c>
      <c r="C68" s="807">
        <v>0</v>
      </c>
      <c r="D68" s="807">
        <v>0</v>
      </c>
      <c r="E68" s="807">
        <v>0</v>
      </c>
      <c r="F68" s="807">
        <f>'Tabor gminny_2024'!$F$74</f>
        <v>8.6332824507686396</v>
      </c>
      <c r="G68" s="808">
        <v>0</v>
      </c>
      <c r="H68" s="808">
        <f>'Tabor gminny_2024'!F73</f>
        <v>163.08979782591385</v>
      </c>
      <c r="I68" s="808">
        <f>'Tabor gminny_2024'!$F$72</f>
        <v>69.360005088460795</v>
      </c>
      <c r="J68" s="808">
        <v>0</v>
      </c>
      <c r="K68" s="808">
        <v>0</v>
      </c>
      <c r="L68" s="808">
        <v>0</v>
      </c>
      <c r="M68" s="808">
        <v>0</v>
      </c>
      <c r="N68" s="808">
        <v>0</v>
      </c>
      <c r="O68" s="808">
        <v>0</v>
      </c>
      <c r="P68" s="808">
        <v>0</v>
      </c>
      <c r="Q68" s="808">
        <v>0</v>
      </c>
      <c r="R68" s="790">
        <f>SUM(C68:Q68)</f>
        <v>241.08308536514329</v>
      </c>
      <c r="T68" s="810"/>
    </row>
    <row r="69" spans="2:20" ht="14.25" customHeight="1">
      <c r="B69" s="846" t="str">
        <f>B17</f>
        <v>Transport komercyjny autobusy</v>
      </c>
      <c r="C69" s="807">
        <v>0</v>
      </c>
      <c r="D69" s="807">
        <v>0</v>
      </c>
      <c r="E69" s="807">
        <v>0</v>
      </c>
      <c r="F69" s="807">
        <f>'Transport kom. autobusy_2024'!$F$40</f>
        <v>0</v>
      </c>
      <c r="G69" s="808">
        <v>0</v>
      </c>
      <c r="H69" s="808">
        <f>'Transport kom. autobusy_2024'!G39</f>
        <v>32.594290813980002</v>
      </c>
      <c r="I69" s="808">
        <f>'Transport kom. autobusy_2024'!$G$38</f>
        <v>0</v>
      </c>
      <c r="J69" s="808">
        <v>0</v>
      </c>
      <c r="K69" s="808">
        <v>0</v>
      </c>
      <c r="L69" s="808">
        <v>0</v>
      </c>
      <c r="M69" s="808">
        <v>0</v>
      </c>
      <c r="N69" s="808">
        <v>0</v>
      </c>
      <c r="O69" s="808">
        <v>0</v>
      </c>
      <c r="P69" s="808">
        <v>0</v>
      </c>
      <c r="Q69" s="808">
        <v>0</v>
      </c>
      <c r="R69" s="790">
        <f>SUM(C69:Q69)</f>
        <v>32.594290813980002</v>
      </c>
    </row>
    <row r="70" spans="2:20" ht="14.25" customHeight="1">
      <c r="B70" s="846" t="s">
        <v>356</v>
      </c>
      <c r="C70" s="807">
        <v>0</v>
      </c>
      <c r="D70" s="807">
        <v>0</v>
      </c>
      <c r="E70" s="807">
        <v>0</v>
      </c>
      <c r="F70" s="807">
        <f>'Transport prywatny_2024'!$G$53</f>
        <v>80.619028453092128</v>
      </c>
      <c r="G70" s="808">
        <v>0</v>
      </c>
      <c r="H70" s="808">
        <f>'Transport prywatny_2024'!G52</f>
        <v>7363.2229580356125</v>
      </c>
      <c r="I70" s="808">
        <f>'Transport prywatny_2024'!$G$51</f>
        <v>1619.2341407143767</v>
      </c>
      <c r="J70" s="808">
        <v>0</v>
      </c>
      <c r="K70" s="808">
        <v>0</v>
      </c>
      <c r="L70" s="808">
        <v>0</v>
      </c>
      <c r="M70" s="808">
        <v>0</v>
      </c>
      <c r="N70" s="808">
        <v>0</v>
      </c>
      <c r="O70" s="808">
        <v>0</v>
      </c>
      <c r="P70" s="808">
        <v>0</v>
      </c>
      <c r="Q70" s="808">
        <v>0</v>
      </c>
      <c r="R70" s="790">
        <f>SUM(C70:Q70)</f>
        <v>9063.0761272030813</v>
      </c>
    </row>
    <row r="71" spans="2:20" ht="14.25" customHeight="1">
      <c r="B71" s="846" t="s">
        <v>590</v>
      </c>
      <c r="C71" s="807">
        <v>0</v>
      </c>
      <c r="D71" s="807">
        <v>0</v>
      </c>
      <c r="E71" s="807">
        <v>0</v>
      </c>
      <c r="F71" s="807">
        <v>0</v>
      </c>
      <c r="G71" s="808">
        <v>0</v>
      </c>
      <c r="H71" s="808">
        <v>0</v>
      </c>
      <c r="I71" s="808">
        <v>0</v>
      </c>
      <c r="J71" s="808">
        <v>0</v>
      </c>
      <c r="K71" s="808">
        <v>0</v>
      </c>
      <c r="L71" s="808">
        <v>0</v>
      </c>
      <c r="M71" s="808">
        <v>0</v>
      </c>
      <c r="N71" s="808">
        <v>0</v>
      </c>
      <c r="O71" s="808">
        <v>0</v>
      </c>
      <c r="P71" s="808">
        <v>0</v>
      </c>
      <c r="Q71" s="808">
        <v>0</v>
      </c>
      <c r="R71" s="790">
        <v>0</v>
      </c>
    </row>
    <row r="72" spans="2:20" ht="14.25" customHeight="1">
      <c r="B72" s="846" t="s">
        <v>497</v>
      </c>
      <c r="C72" s="807">
        <v>0</v>
      </c>
      <c r="D72" s="807">
        <v>0</v>
      </c>
      <c r="E72" s="807">
        <v>0</v>
      </c>
      <c r="F72" s="807">
        <f>'Transport komercyjny_2020'!$G$33</f>
        <v>0</v>
      </c>
      <c r="G72" s="808">
        <v>0</v>
      </c>
      <c r="H72" s="808">
        <f>'Transport komercyjny_2024'!G47</f>
        <v>2227.7234834436413</v>
      </c>
      <c r="I72" s="808">
        <f>'Transport komercyjny_2024'!G16</f>
        <v>786.24920173141084</v>
      </c>
      <c r="J72" s="808">
        <v>0</v>
      </c>
      <c r="K72" s="808">
        <v>0</v>
      </c>
      <c r="L72" s="808">
        <v>0</v>
      </c>
      <c r="M72" s="808">
        <v>0</v>
      </c>
      <c r="N72" s="808">
        <v>0</v>
      </c>
      <c r="O72" s="808">
        <v>0</v>
      </c>
      <c r="P72" s="808">
        <v>0</v>
      </c>
      <c r="Q72" s="808">
        <v>0</v>
      </c>
      <c r="R72" s="790">
        <f>SUM(C72:Q72)</f>
        <v>3013.972685175052</v>
      </c>
    </row>
    <row r="73" spans="2:20" ht="14.25" customHeight="1" thickBot="1">
      <c r="B73" s="855" t="s">
        <v>472</v>
      </c>
      <c r="C73" s="817">
        <f t="shared" ref="C73:R73" si="8">SUM(C68:C72)</f>
        <v>0</v>
      </c>
      <c r="D73" s="817">
        <f t="shared" si="8"/>
        <v>0</v>
      </c>
      <c r="E73" s="817">
        <f t="shared" si="8"/>
        <v>0</v>
      </c>
      <c r="F73" s="817">
        <f t="shared" si="8"/>
        <v>89.252310903860774</v>
      </c>
      <c r="G73" s="817">
        <f t="shared" si="8"/>
        <v>0</v>
      </c>
      <c r="H73" s="817">
        <f t="shared" si="8"/>
        <v>9786.6305301191478</v>
      </c>
      <c r="I73" s="817">
        <f t="shared" si="8"/>
        <v>2474.8433475342486</v>
      </c>
      <c r="J73" s="817">
        <f t="shared" si="8"/>
        <v>0</v>
      </c>
      <c r="K73" s="817">
        <f t="shared" si="8"/>
        <v>0</v>
      </c>
      <c r="L73" s="817">
        <f t="shared" si="8"/>
        <v>0</v>
      </c>
      <c r="M73" s="817">
        <f t="shared" si="8"/>
        <v>0</v>
      </c>
      <c r="N73" s="817">
        <f t="shared" si="8"/>
        <v>0</v>
      </c>
      <c r="O73" s="817">
        <f t="shared" si="8"/>
        <v>0</v>
      </c>
      <c r="P73" s="817">
        <f t="shared" si="8"/>
        <v>0</v>
      </c>
      <c r="Q73" s="817">
        <f t="shared" si="8"/>
        <v>0</v>
      </c>
      <c r="R73" s="802">
        <f t="shared" si="8"/>
        <v>12350.726188557255</v>
      </c>
    </row>
    <row r="74" spans="2:20" ht="14.25" customHeight="1">
      <c r="B74" s="856" t="s">
        <v>474</v>
      </c>
      <c r="C74" s="882"/>
      <c r="D74" s="852"/>
      <c r="E74" s="852"/>
      <c r="F74" s="852"/>
      <c r="G74" s="852"/>
      <c r="H74" s="852"/>
      <c r="I74" s="852"/>
      <c r="J74" s="852"/>
      <c r="K74" s="852"/>
      <c r="L74" s="852"/>
      <c r="M74" s="853"/>
      <c r="N74" s="853"/>
      <c r="O74" s="852"/>
      <c r="P74" s="853"/>
      <c r="Q74" s="854"/>
      <c r="R74" s="998"/>
    </row>
    <row r="75" spans="2:20" ht="14.25" customHeight="1">
      <c r="B75" s="861" t="s">
        <v>475</v>
      </c>
      <c r="C75" s="1327"/>
      <c r="D75" s="1328"/>
      <c r="E75" s="1328"/>
      <c r="F75" s="1328"/>
      <c r="G75" s="1328"/>
      <c r="H75" s="1328"/>
      <c r="I75" s="1328"/>
      <c r="J75" s="1328"/>
      <c r="K75" s="1328"/>
      <c r="L75" s="1328"/>
      <c r="M75" s="1328"/>
      <c r="N75" s="1328"/>
      <c r="O75" s="1328"/>
      <c r="P75" s="1328"/>
      <c r="Q75" s="1329"/>
      <c r="R75" s="999"/>
    </row>
    <row r="76" spans="2:20" ht="14.25" customHeight="1" thickBot="1">
      <c r="B76" s="862" t="s">
        <v>476</v>
      </c>
      <c r="C76" s="1330"/>
      <c r="D76" s="1331"/>
      <c r="E76" s="1331"/>
      <c r="F76" s="1331"/>
      <c r="G76" s="1331"/>
      <c r="H76" s="1331"/>
      <c r="I76" s="1331"/>
      <c r="J76" s="1331"/>
      <c r="K76" s="1331"/>
      <c r="L76" s="1331"/>
      <c r="M76" s="1331"/>
      <c r="N76" s="1331"/>
      <c r="O76" s="1331"/>
      <c r="P76" s="1331"/>
      <c r="Q76" s="1332"/>
      <c r="R76" s="1000"/>
    </row>
    <row r="77" spans="2:20" ht="14.25" customHeight="1" thickTop="1" thickBot="1">
      <c r="B77" s="863" t="s">
        <v>379</v>
      </c>
      <c r="C77" s="864">
        <f t="shared" ref="C77:R77" si="9">C66+C73</f>
        <v>18465.914551663187</v>
      </c>
      <c r="D77" s="864">
        <f t="shared" si="9"/>
        <v>4149.8099999999995</v>
      </c>
      <c r="E77" s="864">
        <f t="shared" si="9"/>
        <v>15008.34745750452</v>
      </c>
      <c r="F77" s="864">
        <f t="shared" si="9"/>
        <v>89.252310903860774</v>
      </c>
      <c r="G77" s="864">
        <f t="shared" si="9"/>
        <v>199.42275635674932</v>
      </c>
      <c r="H77" s="864">
        <f t="shared" si="9"/>
        <v>9786.6305301191478</v>
      </c>
      <c r="I77" s="864">
        <f t="shared" si="9"/>
        <v>2474.8433475342486</v>
      </c>
      <c r="J77" s="864">
        <f t="shared" si="9"/>
        <v>0</v>
      </c>
      <c r="K77" s="864">
        <f t="shared" si="9"/>
        <v>5739.7378348961165</v>
      </c>
      <c r="L77" s="864">
        <f t="shared" si="9"/>
        <v>0</v>
      </c>
      <c r="M77" s="864">
        <f t="shared" si="9"/>
        <v>0</v>
      </c>
      <c r="N77" s="864">
        <f t="shared" si="9"/>
        <v>0</v>
      </c>
      <c r="O77" s="864">
        <f t="shared" si="9"/>
        <v>0</v>
      </c>
      <c r="P77" s="864">
        <f t="shared" si="9"/>
        <v>0</v>
      </c>
      <c r="Q77" s="865">
        <f t="shared" si="9"/>
        <v>0</v>
      </c>
      <c r="R77" s="1001">
        <f t="shared" si="9"/>
        <v>55913.958788977819</v>
      </c>
    </row>
    <row r="78" spans="2:20" ht="14.25" customHeight="1" thickTop="1" thickBot="1">
      <c r="B78" s="837"/>
      <c r="C78" s="866"/>
      <c r="D78" s="866"/>
      <c r="E78" s="867"/>
      <c r="F78" s="867"/>
      <c r="G78" s="867"/>
      <c r="H78" s="867"/>
      <c r="I78" s="867"/>
      <c r="J78" s="867"/>
      <c r="K78" s="867"/>
      <c r="L78" s="867"/>
      <c r="M78" s="867"/>
      <c r="N78" s="867"/>
      <c r="O78" s="867"/>
      <c r="P78" s="867"/>
      <c r="Q78" s="867"/>
      <c r="R78" s="867"/>
    </row>
    <row r="79" spans="2:20" ht="22.5" customHeight="1" thickTop="1" thickBot="1">
      <c r="B79" s="868" t="s">
        <v>477</v>
      </c>
      <c r="C79" s="869"/>
      <c r="D79" s="870"/>
      <c r="E79" s="870"/>
      <c r="F79" s="871"/>
      <c r="G79" s="872"/>
      <c r="H79" s="870"/>
      <c r="I79" s="870"/>
      <c r="J79" s="871"/>
      <c r="K79" s="870"/>
      <c r="L79" s="870"/>
      <c r="M79" s="870"/>
      <c r="N79" s="871"/>
      <c r="O79" s="872"/>
      <c r="P79" s="870"/>
      <c r="Q79" s="873"/>
      <c r="R79" s="867"/>
    </row>
    <row r="80" spans="2:20" ht="39" customHeight="1" thickTop="1" thickBot="1">
      <c r="B80" s="874" t="s">
        <v>478</v>
      </c>
      <c r="C80" s="875"/>
      <c r="D80" s="876"/>
      <c r="E80" s="877"/>
      <c r="F80" s="877"/>
      <c r="G80" s="877"/>
      <c r="H80" s="877"/>
      <c r="I80" s="877"/>
      <c r="J80" s="877"/>
      <c r="K80" s="877"/>
      <c r="L80" s="877"/>
      <c r="M80" s="877"/>
      <c r="N80" s="877"/>
      <c r="O80" s="877"/>
      <c r="P80" s="877"/>
      <c r="Q80" s="877"/>
      <c r="R80" s="867"/>
    </row>
    <row r="81" spans="2:18" ht="14.25" customHeight="1" thickTop="1">
      <c r="B81" s="879"/>
      <c r="C81" s="880"/>
      <c r="D81" s="877"/>
      <c r="E81" s="877"/>
      <c r="F81" s="877"/>
      <c r="G81" s="877"/>
      <c r="H81" s="877"/>
      <c r="I81" s="877"/>
      <c r="J81" s="877"/>
      <c r="K81" s="877"/>
      <c r="L81" s="877"/>
      <c r="M81" s="877"/>
      <c r="N81" s="877"/>
      <c r="O81" s="877"/>
      <c r="P81" s="877"/>
      <c r="Q81" s="877"/>
      <c r="R81" s="867"/>
    </row>
    <row r="82" spans="2:18" ht="14.25" customHeight="1">
      <c r="B82" s="883"/>
      <c r="C82" s="867"/>
      <c r="D82" s="867"/>
      <c r="E82" s="867"/>
      <c r="F82" s="867"/>
      <c r="G82" s="867"/>
      <c r="H82" s="867"/>
      <c r="I82" s="867"/>
      <c r="J82" s="867"/>
      <c r="K82" s="867"/>
      <c r="L82" s="867"/>
      <c r="M82" s="867"/>
      <c r="N82" s="867"/>
      <c r="O82" s="867"/>
      <c r="P82" s="867"/>
      <c r="Q82" s="867"/>
      <c r="R82" s="867"/>
    </row>
    <row r="83" spans="2:18" ht="14.25" customHeight="1">
      <c r="B83" s="884" t="s">
        <v>479</v>
      </c>
      <c r="C83" s="835"/>
      <c r="D83" s="883"/>
      <c r="E83" s="835"/>
      <c r="F83" s="835"/>
      <c r="G83" s="835"/>
      <c r="H83" s="835"/>
      <c r="I83" s="835"/>
      <c r="J83" s="835"/>
      <c r="K83" s="835"/>
      <c r="L83" s="835"/>
      <c r="M83" s="835"/>
      <c r="N83" s="835"/>
      <c r="O83" s="835"/>
      <c r="P83" s="835"/>
      <c r="Q83" s="835"/>
      <c r="R83" s="835"/>
    </row>
    <row r="84" spans="2:18" ht="14.25" customHeight="1">
      <c r="B84" s="1302"/>
      <c r="C84" s="1302"/>
      <c r="D84" s="1302"/>
      <c r="E84" s="1302"/>
      <c r="F84" s="1302"/>
      <c r="G84" s="1302"/>
      <c r="H84" s="1302"/>
      <c r="I84" s="1302"/>
      <c r="J84" s="1302"/>
      <c r="K84" s="1302"/>
      <c r="L84" s="1302"/>
      <c r="M84" s="1302"/>
      <c r="N84" s="1302"/>
      <c r="O84" s="1302"/>
      <c r="P84" s="1302"/>
      <c r="Q84" s="1302"/>
      <c r="R84" s="885"/>
    </row>
    <row r="85" spans="2:18" ht="14.25" customHeight="1" thickBot="1">
      <c r="B85" s="777"/>
      <c r="C85" s="777"/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7"/>
      <c r="Q85" s="777"/>
      <c r="R85" s="777"/>
    </row>
    <row r="86" spans="2:18" ht="14.25" customHeight="1" thickTop="1" thickBot="1">
      <c r="B86" s="1333" t="s">
        <v>480</v>
      </c>
      <c r="C86" s="1333" t="s">
        <v>481</v>
      </c>
      <c r="D86" s="1337" t="s">
        <v>482</v>
      </c>
      <c r="E86" s="1338"/>
      <c r="F86" s="1338"/>
      <c r="G86" s="1338"/>
      <c r="H86" s="1338"/>
      <c r="I86" s="1338"/>
      <c r="J86" s="1338"/>
      <c r="K86" s="1338"/>
      <c r="L86" s="1338"/>
      <c r="M86" s="1338"/>
      <c r="N86" s="1339"/>
      <c r="O86" s="1340" t="s">
        <v>483</v>
      </c>
      <c r="P86" s="1342" t="s">
        <v>484</v>
      </c>
      <c r="Q86" s="1343"/>
      <c r="R86" s="828"/>
    </row>
    <row r="87" spans="2:18" ht="14.25" customHeight="1" thickBot="1">
      <c r="B87" s="1334"/>
      <c r="C87" s="1334"/>
      <c r="D87" s="1345" t="s">
        <v>377</v>
      </c>
      <c r="E87" s="1346"/>
      <c r="F87" s="1346"/>
      <c r="G87" s="1346"/>
      <c r="H87" s="1347"/>
      <c r="I87" s="1290" t="s">
        <v>485</v>
      </c>
      <c r="J87" s="1290" t="s">
        <v>486</v>
      </c>
      <c r="K87" s="1348" t="s">
        <v>462</v>
      </c>
      <c r="L87" s="1348" t="s">
        <v>464</v>
      </c>
      <c r="M87" s="1348" t="s">
        <v>487</v>
      </c>
      <c r="N87" s="1349" t="s">
        <v>488</v>
      </c>
      <c r="O87" s="1341"/>
      <c r="P87" s="1344"/>
      <c r="Q87" s="1341"/>
      <c r="R87" s="828"/>
    </row>
    <row r="88" spans="2:18" ht="49.5" customHeight="1" thickBot="1">
      <c r="B88" s="1335"/>
      <c r="C88" s="1336"/>
      <c r="D88" s="886" t="s">
        <v>458</v>
      </c>
      <c r="E88" s="778" t="s">
        <v>380</v>
      </c>
      <c r="F88" s="780" t="s">
        <v>59</v>
      </c>
      <c r="G88" s="887" t="s">
        <v>459</v>
      </c>
      <c r="H88" s="888" t="s">
        <v>460</v>
      </c>
      <c r="I88" s="1291"/>
      <c r="J88" s="1291"/>
      <c r="K88" s="1293"/>
      <c r="L88" s="1293"/>
      <c r="M88" s="1293"/>
      <c r="N88" s="1350"/>
      <c r="O88" s="1299"/>
      <c r="P88" s="1336"/>
      <c r="Q88" s="1299"/>
      <c r="R88" s="828"/>
    </row>
    <row r="89" spans="2:18" ht="14.25" customHeight="1" thickTop="1">
      <c r="B89" s="889" t="s">
        <v>489</v>
      </c>
      <c r="C89" s="890">
        <v>0</v>
      </c>
      <c r="D89" s="1318"/>
      <c r="E89" s="1310"/>
      <c r="F89" s="1310"/>
      <c r="G89" s="1321"/>
      <c r="H89" s="1324"/>
      <c r="I89" s="1303"/>
      <c r="J89" s="1310"/>
      <c r="K89" s="1310"/>
      <c r="L89" s="1310"/>
      <c r="M89" s="891"/>
      <c r="N89" s="1313"/>
      <c r="O89" s="892"/>
      <c r="P89" s="1316"/>
      <c r="Q89" s="1317"/>
      <c r="R89" s="835"/>
    </row>
    <row r="90" spans="2:18" ht="14.25" customHeight="1">
      <c r="B90" s="893" t="s">
        <v>490</v>
      </c>
      <c r="C90" s="894">
        <v>0</v>
      </c>
      <c r="D90" s="1319"/>
      <c r="E90" s="1311"/>
      <c r="F90" s="1311"/>
      <c r="G90" s="1322"/>
      <c r="H90" s="1325"/>
      <c r="I90" s="1304"/>
      <c r="J90" s="1311"/>
      <c r="K90" s="1311"/>
      <c r="L90" s="1311"/>
      <c r="M90" s="1311"/>
      <c r="N90" s="1314"/>
      <c r="O90" s="895"/>
      <c r="P90" s="1306"/>
      <c r="Q90" s="1307"/>
      <c r="R90" s="835"/>
    </row>
    <row r="91" spans="2:18" ht="14.25" customHeight="1">
      <c r="B91" s="893" t="s">
        <v>491</v>
      </c>
      <c r="C91" s="894">
        <v>0</v>
      </c>
      <c r="D91" s="1320"/>
      <c r="E91" s="1312"/>
      <c r="F91" s="1312"/>
      <c r="G91" s="1323"/>
      <c r="H91" s="1326"/>
      <c r="I91" s="1305"/>
      <c r="J91" s="1312"/>
      <c r="K91" s="1312"/>
      <c r="L91" s="1312"/>
      <c r="M91" s="1312"/>
      <c r="N91" s="1315"/>
      <c r="O91" s="895"/>
      <c r="P91" s="1306"/>
      <c r="Q91" s="1307"/>
      <c r="R91" s="835"/>
    </row>
    <row r="92" spans="2:18" ht="14.25" customHeight="1">
      <c r="B92" s="893" t="s">
        <v>492</v>
      </c>
      <c r="C92" s="894">
        <v>0</v>
      </c>
      <c r="D92" s="896"/>
      <c r="E92" s="897"/>
      <c r="F92" s="897"/>
      <c r="G92" s="898"/>
      <c r="H92" s="899"/>
      <c r="I92" s="900"/>
      <c r="J92" s="897"/>
      <c r="K92" s="897"/>
      <c r="L92" s="897"/>
      <c r="M92" s="897"/>
      <c r="N92" s="901"/>
      <c r="O92" s="895"/>
      <c r="P92" s="1306"/>
      <c r="Q92" s="1307"/>
      <c r="R92" s="828"/>
    </row>
    <row r="93" spans="2:18" ht="14.25" customHeight="1" thickBot="1">
      <c r="B93" s="902" t="s">
        <v>908</v>
      </c>
      <c r="C93" s="903">
        <v>0</v>
      </c>
      <c r="D93" s="904"/>
      <c r="E93" s="905"/>
      <c r="F93" s="905"/>
      <c r="G93" s="905"/>
      <c r="H93" s="906"/>
      <c r="I93" s="907"/>
      <c r="J93" s="905"/>
      <c r="K93" s="905"/>
      <c r="L93" s="905"/>
      <c r="M93" s="908"/>
      <c r="N93" s="909"/>
      <c r="O93" s="910"/>
      <c r="P93" s="1308"/>
      <c r="Q93" s="1309"/>
      <c r="R93" s="828"/>
    </row>
    <row r="94" spans="2:18" ht="15" customHeight="1" thickTop="1" thickBot="1">
      <c r="B94" s="911" t="s">
        <v>379</v>
      </c>
      <c r="C94" s="912">
        <f>SUM(C89:C93)</f>
        <v>0</v>
      </c>
      <c r="D94" s="913">
        <f>SUM(D92:D93)</f>
        <v>0</v>
      </c>
      <c r="E94" s="913">
        <f t="shared" ref="E94:N94" si="10">SUM(E92:E93)</f>
        <v>0</v>
      </c>
      <c r="F94" s="913">
        <f t="shared" si="10"/>
        <v>0</v>
      </c>
      <c r="G94" s="913">
        <f t="shared" si="10"/>
        <v>0</v>
      </c>
      <c r="H94" s="913">
        <f t="shared" si="10"/>
        <v>0</v>
      </c>
      <c r="I94" s="913">
        <f t="shared" si="10"/>
        <v>0</v>
      </c>
      <c r="J94" s="913">
        <f t="shared" si="10"/>
        <v>0</v>
      </c>
      <c r="K94" s="913">
        <f t="shared" si="10"/>
        <v>0</v>
      </c>
      <c r="L94" s="913">
        <f t="shared" si="10"/>
        <v>0</v>
      </c>
      <c r="M94" s="913">
        <f t="shared" si="10"/>
        <v>0</v>
      </c>
      <c r="N94" s="913">
        <f t="shared" si="10"/>
        <v>0</v>
      </c>
      <c r="O94" s="914">
        <f>SUM(O89:O93)</f>
        <v>0</v>
      </c>
      <c r="P94" s="915"/>
      <c r="Q94" s="916"/>
      <c r="R94" s="828"/>
    </row>
    <row r="95" spans="2:18" ht="15.75" customHeight="1" thickTop="1">
      <c r="B95" s="917"/>
      <c r="C95" s="918"/>
      <c r="D95" s="918"/>
      <c r="E95" s="837"/>
      <c r="F95" s="835"/>
      <c r="G95" s="835"/>
      <c r="H95" s="835"/>
      <c r="I95" s="919"/>
      <c r="J95" s="835"/>
      <c r="K95" s="835"/>
      <c r="L95" s="835"/>
      <c r="M95" s="835"/>
      <c r="N95" s="919"/>
      <c r="O95" s="835"/>
      <c r="P95" s="835"/>
      <c r="Q95" s="835"/>
      <c r="R95" s="835"/>
    </row>
    <row r="96" spans="2:18">
      <c r="B96" s="837"/>
      <c r="C96" s="918"/>
      <c r="D96" s="918"/>
      <c r="E96" s="835"/>
      <c r="F96" s="835"/>
      <c r="G96" s="835"/>
      <c r="H96" s="835"/>
      <c r="I96" s="835"/>
      <c r="J96" s="835"/>
      <c r="K96" s="835"/>
      <c r="L96" s="835"/>
      <c r="M96" s="835"/>
      <c r="N96" s="835"/>
      <c r="O96" s="835"/>
      <c r="P96" s="835"/>
      <c r="Q96" s="835"/>
      <c r="R96" s="835"/>
    </row>
  </sheetData>
  <mergeCells count="53">
    <mergeCell ref="B5:B7"/>
    <mergeCell ref="C5:R5"/>
    <mergeCell ref="C6:C7"/>
    <mergeCell ref="D6:D7"/>
    <mergeCell ref="E6:L6"/>
    <mergeCell ref="M6:Q6"/>
    <mergeCell ref="R6:R7"/>
    <mergeCell ref="C23:Q24"/>
    <mergeCell ref="B57:B59"/>
    <mergeCell ref="C57:R57"/>
    <mergeCell ref="C58:C59"/>
    <mergeCell ref="D58:D59"/>
    <mergeCell ref="E58:L58"/>
    <mergeCell ref="M58:Q58"/>
    <mergeCell ref="R58:R59"/>
    <mergeCell ref="B31:B33"/>
    <mergeCell ref="C31:R31"/>
    <mergeCell ref="C32:C33"/>
    <mergeCell ref="D32:D33"/>
    <mergeCell ref="E32:L32"/>
    <mergeCell ref="M32:Q32"/>
    <mergeCell ref="R32:R33"/>
    <mergeCell ref="C49:Q50"/>
    <mergeCell ref="C75:Q76"/>
    <mergeCell ref="B84:Q84"/>
    <mergeCell ref="B86:B88"/>
    <mergeCell ref="C86:C88"/>
    <mergeCell ref="D86:N86"/>
    <mergeCell ref="O86:O88"/>
    <mergeCell ref="P86:Q88"/>
    <mergeCell ref="D87:H87"/>
    <mergeCell ref="I87:I88"/>
    <mergeCell ref="J87:J88"/>
    <mergeCell ref="K87:K88"/>
    <mergeCell ref="L87:L88"/>
    <mergeCell ref="M87:M88"/>
    <mergeCell ref="N87:N88"/>
    <mergeCell ref="D89:D91"/>
    <mergeCell ref="E89:E91"/>
    <mergeCell ref="F89:F91"/>
    <mergeCell ref="G89:G91"/>
    <mergeCell ref="H89:H91"/>
    <mergeCell ref="I89:I91"/>
    <mergeCell ref="P92:Q92"/>
    <mergeCell ref="P93:Q93"/>
    <mergeCell ref="J89:J91"/>
    <mergeCell ref="K89:K91"/>
    <mergeCell ref="L89:L91"/>
    <mergeCell ref="N89:N91"/>
    <mergeCell ref="P89:Q89"/>
    <mergeCell ref="M90:M91"/>
    <mergeCell ref="P90:Q90"/>
    <mergeCell ref="P91:Q9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2:Q29"/>
  <sheetViews>
    <sheetView showGridLines="0" view="pageBreakPreview" topLeftCell="B22" zoomScale="80" zoomScaleSheetLayoutView="80" workbookViewId="0">
      <selection activeCell="I29" sqref="I29"/>
    </sheetView>
  </sheetViews>
  <sheetFormatPr defaultRowHeight="14.25"/>
  <cols>
    <col min="1" max="1" width="3" customWidth="1"/>
    <col min="2" max="2" width="5.625" customWidth="1"/>
    <col min="3" max="3" width="42.625" customWidth="1"/>
    <col min="4" max="4" width="15.25" customWidth="1"/>
    <col min="5" max="5" width="34.125" customWidth="1"/>
    <col min="6" max="6" width="12.5" customWidth="1"/>
    <col min="7" max="7" width="13.375" customWidth="1"/>
    <col min="8" max="8" width="15.75" customWidth="1"/>
    <col min="9" max="11" width="9" style="261"/>
    <col min="12" max="12" width="21.25" customWidth="1"/>
    <col min="13" max="13" width="13.125" style="164" customWidth="1"/>
  </cols>
  <sheetData>
    <row r="2" spans="2:17" ht="15" thickBot="1"/>
    <row r="3" spans="2:17" ht="15.75" thickBot="1">
      <c r="B3" s="1382" t="s">
        <v>226</v>
      </c>
      <c r="C3" s="1382"/>
      <c r="D3" s="1382"/>
      <c r="E3" s="1382"/>
      <c r="F3" s="1382"/>
      <c r="G3" s="1382"/>
      <c r="H3" s="1382"/>
      <c r="I3" s="1382"/>
      <c r="J3" s="1382"/>
      <c r="K3" s="1382"/>
      <c r="L3" s="149"/>
      <c r="M3" s="154"/>
      <c r="O3" s="1080" t="s">
        <v>211</v>
      </c>
      <c r="P3" s="1081"/>
      <c r="Q3" s="1082"/>
    </row>
    <row r="4" spans="2:17" ht="15" thickBot="1">
      <c r="B4" s="1383" t="s">
        <v>227</v>
      </c>
      <c r="C4" s="1384" t="s">
        <v>228</v>
      </c>
      <c r="D4" s="1384" t="s">
        <v>229</v>
      </c>
      <c r="E4" s="1384" t="s">
        <v>275</v>
      </c>
      <c r="F4" s="1384" t="s">
        <v>230</v>
      </c>
      <c r="G4" s="1384"/>
      <c r="H4" s="1384" t="s">
        <v>231</v>
      </c>
      <c r="I4" s="1385" t="s">
        <v>232</v>
      </c>
      <c r="J4" s="1385"/>
      <c r="K4" s="1385"/>
      <c r="L4" s="1378" t="s">
        <v>287</v>
      </c>
      <c r="M4" s="1378" t="s">
        <v>288</v>
      </c>
      <c r="O4" s="587" t="s">
        <v>212</v>
      </c>
      <c r="P4" s="590">
        <v>3.6</v>
      </c>
      <c r="Q4" s="588" t="s">
        <v>207</v>
      </c>
    </row>
    <row r="5" spans="2:17" ht="51.75" thickBot="1">
      <c r="B5" s="1383"/>
      <c r="C5" s="1384"/>
      <c r="D5" s="1384"/>
      <c r="E5" s="1384"/>
      <c r="F5" s="156" t="s">
        <v>233</v>
      </c>
      <c r="G5" s="156" t="s">
        <v>234</v>
      </c>
      <c r="H5" s="1384"/>
      <c r="I5" s="278" t="s">
        <v>235</v>
      </c>
      <c r="J5" s="278" t="s">
        <v>236</v>
      </c>
      <c r="K5" s="278" t="s">
        <v>237</v>
      </c>
      <c r="L5" s="1379"/>
      <c r="M5" s="1379"/>
      <c r="O5" s="549" t="s">
        <v>213</v>
      </c>
      <c r="P5" s="591">
        <v>0.27700000000000002</v>
      </c>
      <c r="Q5" s="589" t="s">
        <v>214</v>
      </c>
    </row>
    <row r="6" spans="2:17" ht="52.5" customHeight="1">
      <c r="B6" s="156">
        <v>1</v>
      </c>
      <c r="C6" s="156" t="s">
        <v>238</v>
      </c>
      <c r="D6" s="1381" t="s">
        <v>239</v>
      </c>
      <c r="E6" s="154" t="s">
        <v>276</v>
      </c>
      <c r="F6" s="154">
        <v>2016</v>
      </c>
      <c r="G6" s="154">
        <v>2020</v>
      </c>
      <c r="H6" s="158" t="s">
        <v>90</v>
      </c>
      <c r="I6" s="139" t="s">
        <v>90</v>
      </c>
      <c r="J6" s="139" t="s">
        <v>90</v>
      </c>
      <c r="K6" s="138" t="s">
        <v>90</v>
      </c>
      <c r="L6" s="154" t="s">
        <v>293</v>
      </c>
      <c r="M6" s="154" t="s">
        <v>289</v>
      </c>
    </row>
    <row r="7" spans="2:17" ht="65.25" customHeight="1">
      <c r="B7" s="156">
        <v>2</v>
      </c>
      <c r="C7" s="156" t="s">
        <v>240</v>
      </c>
      <c r="D7" s="1381"/>
      <c r="E7" s="154" t="s">
        <v>277</v>
      </c>
      <c r="F7" s="154">
        <v>2016</v>
      </c>
      <c r="G7" s="154">
        <v>2020</v>
      </c>
      <c r="H7" s="158" t="s">
        <v>90</v>
      </c>
      <c r="I7" s="139" t="s">
        <v>90</v>
      </c>
      <c r="J7" s="139" t="s">
        <v>90</v>
      </c>
      <c r="K7" s="138" t="s">
        <v>90</v>
      </c>
      <c r="L7" s="154" t="s">
        <v>294</v>
      </c>
      <c r="M7" s="154" t="s">
        <v>289</v>
      </c>
    </row>
    <row r="8" spans="2:17" ht="62.25" customHeight="1">
      <c r="B8" s="156">
        <v>3</v>
      </c>
      <c r="C8" s="156" t="s">
        <v>241</v>
      </c>
      <c r="D8" s="1381"/>
      <c r="E8" s="154" t="s">
        <v>278</v>
      </c>
      <c r="F8" s="154">
        <v>2016</v>
      </c>
      <c r="G8" s="154">
        <v>2020</v>
      </c>
      <c r="H8" s="158">
        <v>100000</v>
      </c>
      <c r="I8" s="139" t="s">
        <v>90</v>
      </c>
      <c r="J8" s="139" t="s">
        <v>90</v>
      </c>
      <c r="K8" s="138" t="s">
        <v>90</v>
      </c>
      <c r="L8" s="154" t="s">
        <v>295</v>
      </c>
      <c r="M8" s="154" t="s">
        <v>290</v>
      </c>
    </row>
    <row r="9" spans="2:17" ht="63.75">
      <c r="B9" s="156">
        <v>4</v>
      </c>
      <c r="C9" s="156" t="s">
        <v>242</v>
      </c>
      <c r="D9" s="138" t="str">
        <f>'En. elektryczna_2020'!B20</f>
        <v>Komunalne oświetlenie publiczne</v>
      </c>
      <c r="E9" s="154" t="s">
        <v>279</v>
      </c>
      <c r="F9" s="154">
        <v>2016</v>
      </c>
      <c r="G9" s="154">
        <v>2020</v>
      </c>
      <c r="H9" s="158">
        <v>914700</v>
      </c>
      <c r="I9" s="139">
        <f>0.1*'Oświetlenie komunalne_2020'!B6</f>
        <v>128.20000000000002</v>
      </c>
      <c r="J9" s="139">
        <f>0.1*'Oświetlenie komunalne_2020'!E6</f>
        <v>104.09840000000003</v>
      </c>
      <c r="K9" s="138">
        <v>0</v>
      </c>
      <c r="L9" s="154" t="s">
        <v>296</v>
      </c>
      <c r="M9" s="154" t="s">
        <v>291</v>
      </c>
    </row>
    <row r="10" spans="2:17" ht="76.5">
      <c r="B10" s="156">
        <v>5</v>
      </c>
      <c r="C10" s="157" t="s">
        <v>243</v>
      </c>
      <c r="D10" s="1375" t="str">
        <f>D12</f>
        <v>Budynki komunalne</v>
      </c>
      <c r="E10" s="155" t="s">
        <v>280</v>
      </c>
      <c r="F10" s="154">
        <v>2016</v>
      </c>
      <c r="G10" s="154">
        <v>2020</v>
      </c>
      <c r="H10" s="159">
        <v>650000</v>
      </c>
      <c r="I10" s="138">
        <f>0.2*'Budynki komunalne_2014'!H5</f>
        <v>25.897284000000003</v>
      </c>
      <c r="J10" s="138">
        <f>0.2*'Budynki komunalne_2014'!J5</f>
        <v>5.2187234400000007</v>
      </c>
      <c r="K10" s="138">
        <v>0</v>
      </c>
      <c r="L10" s="154" t="s">
        <v>297</v>
      </c>
      <c r="M10" s="154" t="s">
        <v>291</v>
      </c>
      <c r="O10">
        <f>650000/520</f>
        <v>1250</v>
      </c>
    </row>
    <row r="11" spans="2:17" ht="65.25" customHeight="1">
      <c r="B11" s="156">
        <v>6</v>
      </c>
      <c r="C11" s="156" t="s">
        <v>253</v>
      </c>
      <c r="D11" s="1377"/>
      <c r="E11" s="155" t="s">
        <v>281</v>
      </c>
      <c r="F11" s="154">
        <v>2016</v>
      </c>
      <c r="G11" s="154">
        <v>2020</v>
      </c>
      <c r="H11" s="596">
        <v>560000</v>
      </c>
      <c r="I11" s="138">
        <f>J11/Wskaźniki!C7</f>
        <v>287.21400878609654</v>
      </c>
      <c r="J11" s="138">
        <f>0.1*'Budynki komunalne_2014'!N8</f>
        <v>233.21777513431039</v>
      </c>
      <c r="K11" s="138">
        <f>0.01*'Budynki komunalne_2014'!N5</f>
        <v>104.95133352000001</v>
      </c>
      <c r="L11" s="154" t="s">
        <v>298</v>
      </c>
      <c r="M11" s="154" t="s">
        <v>291</v>
      </c>
    </row>
    <row r="12" spans="2:17" ht="63.75">
      <c r="B12" s="156">
        <v>7</v>
      </c>
      <c r="C12" s="156" t="s">
        <v>244</v>
      </c>
      <c r="D12" s="1375" t="str">
        <f>'En. elektryczna_2020'!B19</f>
        <v>Budynki komunalne</v>
      </c>
      <c r="E12" s="155" t="s">
        <v>282</v>
      </c>
      <c r="F12" s="154">
        <v>2016</v>
      </c>
      <c r="G12" s="154">
        <v>2020</v>
      </c>
      <c r="H12" s="159">
        <v>5000000</v>
      </c>
      <c r="I12" s="138">
        <f>0.2*'Budynki niekomunalne_2024'!H15</f>
        <v>169.44644000000002</v>
      </c>
      <c r="J12" s="138">
        <f>0.2*'Budynki niekomunalne_2024'!L15</f>
        <v>34.146210400000001</v>
      </c>
      <c r="K12" s="138">
        <f>I12*0.2</f>
        <v>33.889288000000008</v>
      </c>
      <c r="L12" s="154" t="s">
        <v>299</v>
      </c>
      <c r="M12" s="154" t="s">
        <v>291</v>
      </c>
    </row>
    <row r="13" spans="2:17" ht="63.75">
      <c r="B13" s="156">
        <v>8</v>
      </c>
      <c r="C13" s="156" t="s">
        <v>260</v>
      </c>
      <c r="D13" s="1376"/>
      <c r="E13" s="155" t="s">
        <v>282</v>
      </c>
      <c r="F13" s="154">
        <v>2016</v>
      </c>
      <c r="G13" s="154">
        <v>2020</v>
      </c>
      <c r="H13" s="159">
        <v>1500000</v>
      </c>
      <c r="I13" s="138">
        <f>0.2*'Budynki niekomunalne_2024'!H17</f>
        <v>391.08858278000002</v>
      </c>
      <c r="J13" s="138">
        <f>0.2*'Budynki niekomunalne_2024'!L17</f>
        <v>78.810702854799999</v>
      </c>
      <c r="K13" s="138">
        <f>I13*0.2</f>
        <v>78.217716556000013</v>
      </c>
      <c r="L13" s="154" t="s">
        <v>299</v>
      </c>
      <c r="M13" s="154" t="s">
        <v>291</v>
      </c>
    </row>
    <row r="14" spans="2:17" ht="63.75">
      <c r="B14" s="156">
        <v>9</v>
      </c>
      <c r="C14" s="156" t="s">
        <v>245</v>
      </c>
      <c r="D14" s="1376"/>
      <c r="E14" s="155" t="s">
        <v>282</v>
      </c>
      <c r="F14" s="154">
        <v>2016</v>
      </c>
      <c r="G14" s="154">
        <v>2019</v>
      </c>
      <c r="H14" s="159">
        <v>50000000</v>
      </c>
      <c r="I14" s="138">
        <f>0.2*'Budynki niekomunalne_2024'!H9</f>
        <v>826.5680000000001</v>
      </c>
      <c r="J14" s="138">
        <f>0.2*'Budynki niekomunalne_2024'!L9</f>
        <v>166.56688000000003</v>
      </c>
      <c r="K14" s="138">
        <f>I14*0.2</f>
        <v>165.31360000000004</v>
      </c>
      <c r="L14" s="154" t="s">
        <v>299</v>
      </c>
      <c r="M14" s="154" t="s">
        <v>291</v>
      </c>
    </row>
    <row r="15" spans="2:17" ht="63.75">
      <c r="B15" s="156">
        <v>10</v>
      </c>
      <c r="C15" s="156" t="s">
        <v>261</v>
      </c>
      <c r="D15" s="1377"/>
      <c r="E15" s="155" t="s">
        <v>281</v>
      </c>
      <c r="F15" s="154">
        <v>2016</v>
      </c>
      <c r="G15" s="154">
        <v>2020</v>
      </c>
      <c r="H15" s="160">
        <v>24000000</v>
      </c>
      <c r="I15" s="145">
        <f>J15/Wskaźniki!C7</f>
        <v>1150.7598167769429</v>
      </c>
      <c r="J15" s="145">
        <f>0.1*'Budynki niekomunalne_2024'!P8</f>
        <v>934.41697122287769</v>
      </c>
      <c r="K15" s="145">
        <f>0.01*'Budynki niekomunalne_2024'!P5</f>
        <v>328.79547127288208</v>
      </c>
      <c r="L15" s="154" t="s">
        <v>300</v>
      </c>
      <c r="M15" s="154" t="s">
        <v>291</v>
      </c>
    </row>
    <row r="16" spans="2:17" ht="38.25" customHeight="1">
      <c r="B16" s="156">
        <v>11</v>
      </c>
      <c r="C16" s="156" t="s">
        <v>246</v>
      </c>
      <c r="D16" s="1381" t="s">
        <v>385</v>
      </c>
      <c r="E16" s="154" t="s">
        <v>279</v>
      </c>
      <c r="F16" s="154">
        <v>2016</v>
      </c>
      <c r="G16" s="154">
        <v>2020</v>
      </c>
      <c r="H16" s="159">
        <v>300000</v>
      </c>
      <c r="I16" s="360">
        <f>'Ścieżki rowerowe'!D27</f>
        <v>47.956950965760001</v>
      </c>
      <c r="J16" s="360">
        <f>'Ścieżki rowerowe'!C27</f>
        <v>11.997894230783999</v>
      </c>
      <c r="K16" s="360">
        <v>0</v>
      </c>
      <c r="L16" s="154" t="s">
        <v>301</v>
      </c>
      <c r="M16" s="154" t="s">
        <v>291</v>
      </c>
      <c r="N16" s="134"/>
    </row>
    <row r="17" spans="2:13" ht="36.75" customHeight="1">
      <c r="B17" s="156">
        <v>12</v>
      </c>
      <c r="C17" s="156" t="s">
        <v>247</v>
      </c>
      <c r="D17" s="1381"/>
      <c r="E17" s="154" t="s">
        <v>279</v>
      </c>
      <c r="F17" s="1381">
        <v>2017</v>
      </c>
      <c r="G17" s="1381"/>
      <c r="H17" s="159">
        <v>32000</v>
      </c>
      <c r="I17" s="138" t="s">
        <v>90</v>
      </c>
      <c r="J17" s="138">
        <v>3.25</v>
      </c>
      <c r="K17" s="138">
        <v>4</v>
      </c>
      <c r="L17" s="154" t="s">
        <v>302</v>
      </c>
      <c r="M17" s="154" t="s">
        <v>291</v>
      </c>
    </row>
    <row r="18" spans="2:13" ht="34.5" customHeight="1">
      <c r="B18" s="156">
        <v>13</v>
      </c>
      <c r="C18" s="156" t="s">
        <v>248</v>
      </c>
      <c r="D18" s="1381"/>
      <c r="E18" s="154" t="s">
        <v>279</v>
      </c>
      <c r="F18" s="154">
        <v>2016</v>
      </c>
      <c r="G18" s="154">
        <v>2020</v>
      </c>
      <c r="H18" s="159">
        <v>5000000</v>
      </c>
      <c r="I18" s="360">
        <f>'Działanie P&amp;R'!D13</f>
        <v>146.80590367968003</v>
      </c>
      <c r="J18" s="360">
        <f>'Działanie P&amp;R'!C13</f>
        <v>36.727975180512004</v>
      </c>
      <c r="K18" s="360">
        <v>0</v>
      </c>
      <c r="L18" s="154" t="s">
        <v>303</v>
      </c>
      <c r="M18" s="154" t="s">
        <v>291</v>
      </c>
    </row>
    <row r="19" spans="2:13" ht="62.25" customHeight="1">
      <c r="B19" s="156">
        <v>14</v>
      </c>
      <c r="C19" s="156" t="s">
        <v>283</v>
      </c>
      <c r="D19" s="1381"/>
      <c r="E19" s="154" t="s">
        <v>279</v>
      </c>
      <c r="F19" s="154">
        <v>2016</v>
      </c>
      <c r="G19" s="154">
        <v>2020</v>
      </c>
      <c r="H19" s="159">
        <v>30000</v>
      </c>
      <c r="I19" s="360">
        <f>0.005*'Końcowe zuż. energii_2020'!R21</f>
        <v>250.35150919810397</v>
      </c>
      <c r="J19" s="360">
        <f>0.005*'Emisja CO2_2020'!R21</f>
        <v>64.521703547853591</v>
      </c>
      <c r="K19" s="360">
        <v>0</v>
      </c>
      <c r="L19" s="154" t="s">
        <v>304</v>
      </c>
      <c r="M19" s="154" t="s">
        <v>291</v>
      </c>
    </row>
    <row r="20" spans="2:13" ht="63.75">
      <c r="B20" s="156">
        <v>15</v>
      </c>
      <c r="C20" s="156" t="s">
        <v>284</v>
      </c>
      <c r="D20" s="1381"/>
      <c r="E20" s="154" t="s">
        <v>279</v>
      </c>
      <c r="F20" s="154">
        <v>2016</v>
      </c>
      <c r="G20" s="154">
        <v>2020</v>
      </c>
      <c r="H20" s="159">
        <v>20000</v>
      </c>
      <c r="I20" s="138">
        <f>0.001*'Końcowe zuż. energii_2020'!R21</f>
        <v>50.07030183962079</v>
      </c>
      <c r="J20" s="138">
        <f>0.001*'Emisja CO2_2020'!R21</f>
        <v>12.904340709570718</v>
      </c>
      <c r="K20" s="138">
        <v>0</v>
      </c>
      <c r="L20" s="154" t="s">
        <v>305</v>
      </c>
      <c r="M20" s="154" t="s">
        <v>291</v>
      </c>
    </row>
    <row r="21" spans="2:13" ht="63.75">
      <c r="B21" s="156">
        <v>16</v>
      </c>
      <c r="C21" s="156" t="s">
        <v>249</v>
      </c>
      <c r="D21" s="138" t="s">
        <v>456</v>
      </c>
      <c r="E21" s="154" t="s">
        <v>285</v>
      </c>
      <c r="F21" s="154">
        <v>2016</v>
      </c>
      <c r="G21" s="154">
        <v>2020</v>
      </c>
      <c r="H21" s="159">
        <f>'Działania_zrealizowane '!D39</f>
        <v>840000</v>
      </c>
      <c r="I21" s="138">
        <v>0</v>
      </c>
      <c r="J21" s="138">
        <f>'Działania_zrealizowane '!D37</f>
        <v>97.440000000000012</v>
      </c>
      <c r="K21" s="138">
        <f>'Działania_zrealizowane '!D36</f>
        <v>120</v>
      </c>
      <c r="L21" s="154" t="s">
        <v>298</v>
      </c>
      <c r="M21" s="154" t="s">
        <v>291</v>
      </c>
    </row>
    <row r="22" spans="2:13" ht="63.75">
      <c r="B22" s="156">
        <v>17</v>
      </c>
      <c r="C22" s="156" t="s">
        <v>254</v>
      </c>
      <c r="D22" s="1380" t="str">
        <f>'En. elektryczna_2020'!B18</f>
        <v>Budynki mieszkalne</v>
      </c>
      <c r="E22" s="154" t="s">
        <v>286</v>
      </c>
      <c r="F22" s="154">
        <v>2016</v>
      </c>
      <c r="G22" s="154">
        <v>2020</v>
      </c>
      <c r="H22" s="159">
        <f>'Działania_zrealizowane '!D26</f>
        <v>1600000</v>
      </c>
      <c r="I22" s="138">
        <v>0</v>
      </c>
      <c r="J22" s="138">
        <f>'Działania_zrealizowane '!D24</f>
        <v>162.4</v>
      </c>
      <c r="K22" s="138">
        <f>'Działania_zrealizowane '!D23</f>
        <v>200</v>
      </c>
      <c r="L22" s="154" t="s">
        <v>298</v>
      </c>
      <c r="M22" s="154" t="s">
        <v>291</v>
      </c>
    </row>
    <row r="23" spans="2:13" ht="63.75">
      <c r="B23" s="156">
        <v>18</v>
      </c>
      <c r="C23" s="156" t="s">
        <v>255</v>
      </c>
      <c r="D23" s="1381"/>
      <c r="E23" s="154" t="s">
        <v>286</v>
      </c>
      <c r="F23" s="154">
        <v>2016</v>
      </c>
      <c r="G23" s="154">
        <v>2020</v>
      </c>
      <c r="H23" s="159">
        <v>700000</v>
      </c>
      <c r="I23" s="138">
        <v>0</v>
      </c>
      <c r="J23" s="138">
        <f>'Działania_zrealizowane '!D11</f>
        <v>84.21875</v>
      </c>
      <c r="K23" s="138">
        <f>'Działania_zrealizowane '!D9*Działania_2020!P5</f>
        <v>238.04687500000003</v>
      </c>
      <c r="L23" s="154" t="s">
        <v>298</v>
      </c>
      <c r="M23" s="154" t="s">
        <v>291</v>
      </c>
    </row>
    <row r="24" spans="2:13" ht="63.75">
      <c r="B24" s="156">
        <v>19</v>
      </c>
      <c r="C24" s="156" t="s">
        <v>256</v>
      </c>
      <c r="D24" s="1381"/>
      <c r="E24" s="154" t="s">
        <v>286</v>
      </c>
      <c r="F24" s="154">
        <v>2016</v>
      </c>
      <c r="G24" s="154">
        <v>2020</v>
      </c>
      <c r="H24" s="159">
        <f>'Działania_zrealizowane '!D55</f>
        <v>229320</v>
      </c>
      <c r="I24" s="138">
        <f>'Działania_zrealizowane '!D49</f>
        <v>56.476788421549209</v>
      </c>
      <c r="J24" s="138">
        <f>'Działania_zrealizowane '!D53</f>
        <v>45.859152198297963</v>
      </c>
      <c r="K24" s="138">
        <f>'Działania_zrealizowane '!D52</f>
        <v>112.95357684309843</v>
      </c>
      <c r="L24" s="154" t="s">
        <v>298</v>
      </c>
      <c r="M24" s="154" t="s">
        <v>291</v>
      </c>
    </row>
    <row r="25" spans="2:13" ht="76.5">
      <c r="B25" s="156">
        <v>20</v>
      </c>
      <c r="C25" s="156" t="s">
        <v>250</v>
      </c>
      <c r="D25" s="1381"/>
      <c r="E25" s="154" t="s">
        <v>286</v>
      </c>
      <c r="F25" s="154">
        <v>2016</v>
      </c>
      <c r="G25" s="154">
        <v>2020</v>
      </c>
      <c r="H25" s="159">
        <v>2500000</v>
      </c>
      <c r="I25" s="138">
        <f>(50*Charakterystyka_2020!L86*'Ciepło_gosp. dom._2020'!C16)*0.2*P5</f>
        <v>137.15486520704363</v>
      </c>
      <c r="J25" s="138">
        <f>I25/P5*Wskaźniki!C8</f>
        <v>46.904983325138055</v>
      </c>
      <c r="K25" s="138">
        <v>0</v>
      </c>
      <c r="L25" s="154" t="s">
        <v>297</v>
      </c>
      <c r="M25" s="154" t="s">
        <v>291</v>
      </c>
    </row>
    <row r="26" spans="2:13" ht="25.5">
      <c r="B26" s="156">
        <v>21</v>
      </c>
      <c r="C26" s="156" t="s">
        <v>393</v>
      </c>
      <c r="D26" s="1381"/>
      <c r="E26" s="154" t="s">
        <v>286</v>
      </c>
      <c r="F26" s="154">
        <v>2016</v>
      </c>
      <c r="G26" s="154">
        <v>2020</v>
      </c>
      <c r="H26" s="159">
        <f>'Działania_zrealizowane '!D68</f>
        <v>424000</v>
      </c>
      <c r="I26" s="138">
        <v>0</v>
      </c>
      <c r="J26" s="138">
        <f>'Działania_zrealizowane '!D66</f>
        <v>248.91230174585874</v>
      </c>
      <c r="K26" s="138">
        <v>0</v>
      </c>
      <c r="L26" s="154" t="s">
        <v>306</v>
      </c>
      <c r="M26" s="154" t="s">
        <v>292</v>
      </c>
    </row>
    <row r="27" spans="2:13" ht="15">
      <c r="C27" s="133" t="s">
        <v>251</v>
      </c>
      <c r="H27" s="162">
        <f>SUM(H8:H26)</f>
        <v>94400020</v>
      </c>
      <c r="I27" s="163">
        <f>SUM(I6:I26)</f>
        <v>3667.9904516547972</v>
      </c>
      <c r="J27" s="163">
        <f>SUM(J9:J26)</f>
        <v>2371.6127639900033</v>
      </c>
      <c r="K27" s="163">
        <f>SUM(K11:K26)</f>
        <v>1386.1678611919808</v>
      </c>
      <c r="L27" s="149"/>
      <c r="M27" s="154"/>
    </row>
    <row r="28" spans="2:13">
      <c r="J28" s="279"/>
    </row>
    <row r="29" spans="2:13">
      <c r="I29" s="261">
        <f>I9+SUM(I10:I11)+SUM(I12:I15)+I21+SUM(I22:I26)</f>
        <v>3172.8057859716323</v>
      </c>
    </row>
  </sheetData>
  <mergeCells count="17">
    <mergeCell ref="D10:D11"/>
    <mergeCell ref="D12:D15"/>
    <mergeCell ref="O3:Q3"/>
    <mergeCell ref="L4:L5"/>
    <mergeCell ref="M4:M5"/>
    <mergeCell ref="D22:D26"/>
    <mergeCell ref="B3:K3"/>
    <mergeCell ref="B4:B5"/>
    <mergeCell ref="C4:C5"/>
    <mergeCell ref="D4:D5"/>
    <mergeCell ref="F4:G4"/>
    <mergeCell ref="H4:H5"/>
    <mergeCell ref="I4:K4"/>
    <mergeCell ref="D6:D8"/>
    <mergeCell ref="F17:G17"/>
    <mergeCell ref="E4:E5"/>
    <mergeCell ref="D16:D20"/>
  </mergeCells>
  <pageMargins left="0.7" right="0.7" top="0.75" bottom="0.75" header="0.3" footer="0.3"/>
  <pageSetup paperSize="9" scale="52" orientation="landscape" r:id="rId1"/>
  <colBreaks count="1" manualBreakCount="1">
    <brk id="13" max="26" man="1"/>
  </col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B1:F69"/>
  <sheetViews>
    <sheetView topLeftCell="A22" workbookViewId="0">
      <selection activeCell="G73" sqref="G73"/>
    </sheetView>
  </sheetViews>
  <sheetFormatPr defaultRowHeight="15"/>
  <cols>
    <col min="1" max="1" width="3.875" style="573" customWidth="1"/>
    <col min="2" max="2" width="3.5" style="586" customWidth="1"/>
    <col min="3" max="3" width="42.25" style="573" customWidth="1"/>
    <col min="4" max="4" width="14.875" style="573" customWidth="1"/>
    <col min="5" max="5" width="10.875" style="573" customWidth="1"/>
    <col min="6" max="6" width="22.75" style="573" customWidth="1"/>
    <col min="7" max="16384" width="9" style="573"/>
  </cols>
  <sheetData>
    <row r="1" spans="2:6" ht="15.75" thickBot="1"/>
    <row r="2" spans="2:6" ht="15.75" thickBot="1">
      <c r="B2" s="1386" t="s">
        <v>513</v>
      </c>
      <c r="C2" s="1387"/>
      <c r="D2" s="1387"/>
      <c r="E2" s="1387"/>
      <c r="F2" s="1388"/>
    </row>
    <row r="3" spans="2:6">
      <c r="B3" s="592" t="s">
        <v>227</v>
      </c>
      <c r="C3" s="574" t="s">
        <v>514</v>
      </c>
      <c r="D3" s="574" t="s">
        <v>271</v>
      </c>
      <c r="E3" s="574" t="s">
        <v>67</v>
      </c>
      <c r="F3" s="575" t="s">
        <v>515</v>
      </c>
    </row>
    <row r="4" spans="2:6">
      <c r="B4" s="593">
        <v>1</v>
      </c>
      <c r="C4" s="576" t="s">
        <v>516</v>
      </c>
      <c r="D4" s="577">
        <v>50</v>
      </c>
      <c r="E4" s="576" t="s">
        <v>517</v>
      </c>
      <c r="F4" s="578" t="s">
        <v>518</v>
      </c>
    </row>
    <row r="5" spans="2:6">
      <c r="B5" s="594">
        <v>2</v>
      </c>
      <c r="C5" s="579" t="s">
        <v>519</v>
      </c>
      <c r="D5" s="580">
        <v>5</v>
      </c>
      <c r="E5" s="579" t="s">
        <v>520</v>
      </c>
      <c r="F5" s="581" t="s">
        <v>518</v>
      </c>
    </row>
    <row r="6" spans="2:6">
      <c r="B6" s="594">
        <v>3</v>
      </c>
      <c r="C6" s="579" t="s">
        <v>521</v>
      </c>
      <c r="D6" s="580">
        <v>12.5</v>
      </c>
      <c r="E6" s="579" t="s">
        <v>522</v>
      </c>
      <c r="F6" s="581" t="s">
        <v>523</v>
      </c>
    </row>
    <row r="7" spans="2:6">
      <c r="B7" s="594">
        <v>4</v>
      </c>
      <c r="C7" s="579" t="s">
        <v>524</v>
      </c>
      <c r="D7" s="580">
        <v>275</v>
      </c>
      <c r="E7" s="579" t="s">
        <v>525</v>
      </c>
      <c r="F7" s="581" t="s">
        <v>523</v>
      </c>
    </row>
    <row r="8" spans="2:6">
      <c r="B8" s="594">
        <v>5</v>
      </c>
      <c r="C8" s="579" t="s">
        <v>526</v>
      </c>
      <c r="D8" s="580">
        <f>D7*D6*D5</f>
        <v>17187.5</v>
      </c>
      <c r="E8" s="579" t="s">
        <v>527</v>
      </c>
      <c r="F8" s="581"/>
    </row>
    <row r="9" spans="2:6">
      <c r="B9" s="594">
        <v>6</v>
      </c>
      <c r="C9" s="579" t="s">
        <v>528</v>
      </c>
      <c r="D9" s="580">
        <f>D8*D4/1000</f>
        <v>859.375</v>
      </c>
      <c r="E9" s="579" t="s">
        <v>207</v>
      </c>
      <c r="F9" s="581"/>
    </row>
    <row r="10" spans="2:6">
      <c r="B10" s="594">
        <v>7</v>
      </c>
      <c r="C10" s="579" t="s">
        <v>529</v>
      </c>
      <c r="D10" s="582">
        <v>9.8000000000000004E-2</v>
      </c>
      <c r="E10" s="579" t="s">
        <v>530</v>
      </c>
      <c r="F10" s="581" t="s">
        <v>531</v>
      </c>
    </row>
    <row r="11" spans="2:6">
      <c r="B11" s="594">
        <v>8</v>
      </c>
      <c r="C11" s="579" t="s">
        <v>532</v>
      </c>
      <c r="D11" s="580">
        <f>D10*D9</f>
        <v>84.21875</v>
      </c>
      <c r="E11" s="579" t="s">
        <v>533</v>
      </c>
      <c r="F11" s="581"/>
    </row>
    <row r="12" spans="2:6">
      <c r="B12" s="594">
        <v>9</v>
      </c>
      <c r="C12" s="579" t="s">
        <v>534</v>
      </c>
      <c r="D12" s="580">
        <v>14000</v>
      </c>
      <c r="E12" s="579" t="s">
        <v>535</v>
      </c>
      <c r="F12" s="581" t="s">
        <v>523</v>
      </c>
    </row>
    <row r="13" spans="2:6">
      <c r="B13" s="594">
        <v>10</v>
      </c>
      <c r="C13" s="579" t="s">
        <v>536</v>
      </c>
      <c r="D13" s="580">
        <f>D12*D4</f>
        <v>700000</v>
      </c>
      <c r="E13" s="579" t="s">
        <v>537</v>
      </c>
      <c r="F13" s="581"/>
    </row>
    <row r="14" spans="2:6" ht="15.75" thickBot="1">
      <c r="B14" s="595">
        <v>11</v>
      </c>
      <c r="C14" s="583" t="s">
        <v>538</v>
      </c>
      <c r="D14" s="584">
        <f>D13/D11</f>
        <v>8311.6883116883109</v>
      </c>
      <c r="E14" s="583" t="s">
        <v>539</v>
      </c>
      <c r="F14" s="585"/>
    </row>
    <row r="15" spans="2:6" ht="15.75" thickBot="1"/>
    <row r="16" spans="2:6" ht="15.75" thickBot="1">
      <c r="B16" s="1386" t="s">
        <v>549</v>
      </c>
      <c r="C16" s="1387"/>
      <c r="D16" s="1387"/>
      <c r="E16" s="1387"/>
      <c r="F16" s="1388"/>
    </row>
    <row r="17" spans="2:6">
      <c r="B17" s="592" t="s">
        <v>227</v>
      </c>
      <c r="C17" s="574" t="s">
        <v>514</v>
      </c>
      <c r="D17" s="574" t="s">
        <v>271</v>
      </c>
      <c r="E17" s="574" t="s">
        <v>67</v>
      </c>
      <c r="F17" s="575" t="s">
        <v>515</v>
      </c>
    </row>
    <row r="18" spans="2:6">
      <c r="B18" s="593">
        <v>1</v>
      </c>
      <c r="C18" s="576" t="s">
        <v>516</v>
      </c>
      <c r="D18" s="577">
        <v>50</v>
      </c>
      <c r="E18" s="576" t="s">
        <v>517</v>
      </c>
      <c r="F18" s="578" t="s">
        <v>518</v>
      </c>
    </row>
    <row r="19" spans="2:6">
      <c r="B19" s="594">
        <v>2</v>
      </c>
      <c r="C19" s="579" t="s">
        <v>540</v>
      </c>
      <c r="D19" s="580">
        <v>4</v>
      </c>
      <c r="E19" s="579" t="s">
        <v>541</v>
      </c>
      <c r="F19" s="581" t="s">
        <v>518</v>
      </c>
    </row>
    <row r="20" spans="2:6">
      <c r="B20" s="594">
        <v>3</v>
      </c>
      <c r="C20" s="579" t="s">
        <v>542</v>
      </c>
      <c r="D20" s="580">
        <f>D19*D18</f>
        <v>200</v>
      </c>
      <c r="E20" s="579" t="s">
        <v>541</v>
      </c>
      <c r="F20" s="581"/>
    </row>
    <row r="21" spans="2:6">
      <c r="B21" s="594">
        <v>4</v>
      </c>
      <c r="C21" s="579" t="s">
        <v>543</v>
      </c>
      <c r="D21" s="580">
        <v>1</v>
      </c>
      <c r="E21" s="579" t="s">
        <v>235</v>
      </c>
      <c r="F21" s="581" t="s">
        <v>523</v>
      </c>
    </row>
    <row r="22" spans="2:6">
      <c r="B22" s="594">
        <v>5</v>
      </c>
      <c r="C22" s="579" t="s">
        <v>544</v>
      </c>
      <c r="D22" s="580">
        <v>0.81200000000000006</v>
      </c>
      <c r="E22" s="579" t="s">
        <v>545</v>
      </c>
      <c r="F22" s="581" t="s">
        <v>552</v>
      </c>
    </row>
    <row r="23" spans="2:6">
      <c r="B23" s="594">
        <v>6</v>
      </c>
      <c r="C23" s="579" t="s">
        <v>546</v>
      </c>
      <c r="D23" s="580">
        <f>D20*D21</f>
        <v>200</v>
      </c>
      <c r="E23" s="579" t="s">
        <v>235</v>
      </c>
      <c r="F23" s="581"/>
    </row>
    <row r="24" spans="2:6">
      <c r="B24" s="594">
        <v>7</v>
      </c>
      <c r="C24" s="579" t="s">
        <v>532</v>
      </c>
      <c r="D24" s="580">
        <f>D23*D22</f>
        <v>162.4</v>
      </c>
      <c r="E24" s="579" t="s">
        <v>533</v>
      </c>
      <c r="F24" s="581"/>
    </row>
    <row r="25" spans="2:6">
      <c r="B25" s="594">
        <v>8</v>
      </c>
      <c r="C25" s="579" t="s">
        <v>547</v>
      </c>
      <c r="D25" s="580">
        <v>8000</v>
      </c>
      <c r="E25" s="579" t="s">
        <v>548</v>
      </c>
      <c r="F25" s="581" t="s">
        <v>523</v>
      </c>
    </row>
    <row r="26" spans="2:6">
      <c r="B26" s="594">
        <v>9</v>
      </c>
      <c r="C26" s="579" t="s">
        <v>536</v>
      </c>
      <c r="D26" s="580">
        <f>D25*D20</f>
        <v>1600000</v>
      </c>
      <c r="E26" s="579" t="s">
        <v>548</v>
      </c>
      <c r="F26" s="581"/>
    </row>
    <row r="27" spans="2:6" ht="15.75" thickBot="1">
      <c r="B27" s="595">
        <v>10</v>
      </c>
      <c r="C27" s="583" t="s">
        <v>538</v>
      </c>
      <c r="D27" s="584">
        <f>D25*D20/D24</f>
        <v>9852.2167487684728</v>
      </c>
      <c r="E27" s="583" t="s">
        <v>539</v>
      </c>
      <c r="F27" s="585"/>
    </row>
    <row r="28" spans="2:6" ht="15.75" thickBot="1"/>
    <row r="29" spans="2:6" ht="15.75" thickBot="1">
      <c r="B29" s="1386" t="s">
        <v>249</v>
      </c>
      <c r="C29" s="1387"/>
      <c r="D29" s="1387"/>
      <c r="E29" s="1387"/>
      <c r="F29" s="1388"/>
    </row>
    <row r="30" spans="2:6">
      <c r="B30" s="592" t="s">
        <v>227</v>
      </c>
      <c r="C30" s="574" t="s">
        <v>514</v>
      </c>
      <c r="D30" s="574" t="s">
        <v>271</v>
      </c>
      <c r="E30" s="574" t="s">
        <v>67</v>
      </c>
      <c r="F30" s="575" t="s">
        <v>515</v>
      </c>
    </row>
    <row r="31" spans="2:6">
      <c r="B31" s="593">
        <v>1</v>
      </c>
      <c r="C31" s="576" t="s">
        <v>516</v>
      </c>
      <c r="D31" s="577">
        <v>3</v>
      </c>
      <c r="E31" s="576" t="s">
        <v>517</v>
      </c>
      <c r="F31" s="578" t="s">
        <v>518</v>
      </c>
    </row>
    <row r="32" spans="2:6">
      <c r="B32" s="594">
        <v>2</v>
      </c>
      <c r="C32" s="579" t="s">
        <v>540</v>
      </c>
      <c r="D32" s="580">
        <v>40</v>
      </c>
      <c r="E32" s="579" t="s">
        <v>541</v>
      </c>
      <c r="F32" s="581" t="s">
        <v>518</v>
      </c>
    </row>
    <row r="33" spans="2:6">
      <c r="B33" s="594">
        <v>3</v>
      </c>
      <c r="C33" s="579" t="s">
        <v>542</v>
      </c>
      <c r="D33" s="580">
        <f>D32*D31</f>
        <v>120</v>
      </c>
      <c r="E33" s="579" t="s">
        <v>541</v>
      </c>
      <c r="F33" s="581"/>
    </row>
    <row r="34" spans="2:6">
      <c r="B34" s="594">
        <v>4</v>
      </c>
      <c r="C34" s="579" t="s">
        <v>550</v>
      </c>
      <c r="D34" s="580">
        <v>1</v>
      </c>
      <c r="E34" s="579" t="s">
        <v>235</v>
      </c>
      <c r="F34" s="581" t="s">
        <v>523</v>
      </c>
    </row>
    <row r="35" spans="2:6">
      <c r="B35" s="594">
        <v>5</v>
      </c>
      <c r="C35" s="579" t="s">
        <v>544</v>
      </c>
      <c r="D35" s="580">
        <v>0.81200000000000006</v>
      </c>
      <c r="E35" s="579" t="s">
        <v>545</v>
      </c>
      <c r="F35" s="581" t="s">
        <v>552</v>
      </c>
    </row>
    <row r="36" spans="2:6">
      <c r="B36" s="594">
        <v>6</v>
      </c>
      <c r="C36" s="579" t="s">
        <v>551</v>
      </c>
      <c r="D36" s="580">
        <f>D33*D34</f>
        <v>120</v>
      </c>
      <c r="E36" s="579" t="s">
        <v>235</v>
      </c>
      <c r="F36" s="581"/>
    </row>
    <row r="37" spans="2:6">
      <c r="B37" s="594">
        <v>7</v>
      </c>
      <c r="C37" s="579" t="s">
        <v>532</v>
      </c>
      <c r="D37" s="580">
        <f>D36*D35</f>
        <v>97.440000000000012</v>
      </c>
      <c r="E37" s="579" t="s">
        <v>533</v>
      </c>
      <c r="F37" s="581"/>
    </row>
    <row r="38" spans="2:6">
      <c r="B38" s="594">
        <v>8</v>
      </c>
      <c r="C38" s="579" t="s">
        <v>547</v>
      </c>
      <c r="D38" s="580">
        <v>7000</v>
      </c>
      <c r="E38" s="579" t="s">
        <v>548</v>
      </c>
      <c r="F38" s="581" t="s">
        <v>523</v>
      </c>
    </row>
    <row r="39" spans="2:6">
      <c r="B39" s="594">
        <v>9</v>
      </c>
      <c r="C39" s="579" t="s">
        <v>536</v>
      </c>
      <c r="D39" s="580">
        <f>D38*D33</f>
        <v>840000</v>
      </c>
      <c r="E39" s="579" t="s">
        <v>548</v>
      </c>
      <c r="F39" s="581"/>
    </row>
    <row r="40" spans="2:6" ht="15.75" thickBot="1">
      <c r="B40" s="595">
        <v>10</v>
      </c>
      <c r="C40" s="583" t="s">
        <v>538</v>
      </c>
      <c r="D40" s="584">
        <f>D38*D33/D37</f>
        <v>8620.689655172413</v>
      </c>
      <c r="E40" s="583" t="s">
        <v>539</v>
      </c>
      <c r="F40" s="585"/>
    </row>
    <row r="41" spans="2:6" ht="15.75" thickBot="1"/>
    <row r="42" spans="2:6" ht="15.75" thickBot="1">
      <c r="B42" s="1386" t="s">
        <v>256</v>
      </c>
      <c r="C42" s="1387"/>
      <c r="D42" s="1387"/>
      <c r="E42" s="1387"/>
      <c r="F42" s="1388"/>
    </row>
    <row r="43" spans="2:6">
      <c r="B43" s="592" t="s">
        <v>227</v>
      </c>
      <c r="C43" s="574" t="s">
        <v>514</v>
      </c>
      <c r="D43" s="574" t="s">
        <v>271</v>
      </c>
      <c r="E43" s="574" t="s">
        <v>67</v>
      </c>
      <c r="F43" s="575" t="s">
        <v>515</v>
      </c>
    </row>
    <row r="44" spans="2:6">
      <c r="B44" s="593">
        <v>1</v>
      </c>
      <c r="C44" s="576" t="s">
        <v>560</v>
      </c>
      <c r="D44" s="577">
        <v>2</v>
      </c>
      <c r="E44" s="576" t="s">
        <v>561</v>
      </c>
      <c r="F44" s="578" t="s">
        <v>571</v>
      </c>
    </row>
    <row r="45" spans="2:6" ht="25.5">
      <c r="B45" s="594">
        <v>2</v>
      </c>
      <c r="C45" s="614" t="s">
        <v>566</v>
      </c>
      <c r="D45" s="615">
        <v>3</v>
      </c>
      <c r="E45" s="614" t="s">
        <v>214</v>
      </c>
      <c r="F45" s="616" t="s">
        <v>572</v>
      </c>
    </row>
    <row r="46" spans="2:6">
      <c r="B46" s="594">
        <v>3</v>
      </c>
      <c r="C46" s="579" t="s">
        <v>562</v>
      </c>
      <c r="D46" s="580">
        <v>150</v>
      </c>
      <c r="E46" s="579" t="s">
        <v>520</v>
      </c>
      <c r="F46" s="581" t="s">
        <v>573</v>
      </c>
    </row>
    <row r="47" spans="2:6">
      <c r="B47" s="594">
        <v>4</v>
      </c>
      <c r="C47" s="579" t="s">
        <v>563</v>
      </c>
      <c r="D47" s="580">
        <f>'Ciepło_gosp. dom._2020'!C16</f>
        <v>0.6796244094049243</v>
      </c>
      <c r="E47" s="579" t="s">
        <v>564</v>
      </c>
      <c r="F47" s="581" t="s">
        <v>574</v>
      </c>
    </row>
    <row r="48" spans="2:6">
      <c r="B48" s="594">
        <v>5</v>
      </c>
      <c r="C48" s="579" t="s">
        <v>563</v>
      </c>
      <c r="D48" s="580">
        <f>D47*Działania_2020!P5</f>
        <v>0.18825596140516404</v>
      </c>
      <c r="E48" s="579" t="s">
        <v>565</v>
      </c>
      <c r="F48" s="581"/>
    </row>
    <row r="49" spans="2:6">
      <c r="B49" s="594">
        <v>6</v>
      </c>
      <c r="C49" s="579" t="s">
        <v>576</v>
      </c>
      <c r="D49" s="580">
        <f>(D46*D48)*D44</f>
        <v>56.476788421549209</v>
      </c>
      <c r="E49" s="579" t="s">
        <v>235</v>
      </c>
      <c r="F49" s="581"/>
    </row>
    <row r="50" spans="2:6">
      <c r="B50" s="594">
        <v>7</v>
      </c>
      <c r="C50" s="579" t="s">
        <v>544</v>
      </c>
      <c r="D50" s="580">
        <v>0.81200000000000006</v>
      </c>
      <c r="E50" s="579" t="s">
        <v>545</v>
      </c>
      <c r="F50" s="581" t="s">
        <v>552</v>
      </c>
    </row>
    <row r="51" spans="2:6">
      <c r="B51" s="594">
        <v>8</v>
      </c>
      <c r="C51" s="579" t="s">
        <v>546</v>
      </c>
      <c r="D51" s="580">
        <f>D45*D49</f>
        <v>169.43036526464763</v>
      </c>
      <c r="E51" s="579" t="s">
        <v>235</v>
      </c>
      <c r="F51" s="581"/>
    </row>
    <row r="52" spans="2:6">
      <c r="B52" s="594">
        <v>9</v>
      </c>
      <c r="C52" s="579" t="s">
        <v>575</v>
      </c>
      <c r="D52" s="580">
        <f>D51-D49</f>
        <v>112.95357684309843</v>
      </c>
      <c r="E52" s="579" t="s">
        <v>235</v>
      </c>
      <c r="F52" s="581"/>
    </row>
    <row r="53" spans="2:6">
      <c r="B53" s="594">
        <v>10</v>
      </c>
      <c r="C53" s="579" t="s">
        <v>532</v>
      </c>
      <c r="D53" s="580">
        <f>D49*D50</f>
        <v>45.859152198297963</v>
      </c>
      <c r="E53" s="579" t="s">
        <v>533</v>
      </c>
      <c r="F53" s="581"/>
    </row>
    <row r="54" spans="2:6">
      <c r="B54" s="594">
        <v>11</v>
      </c>
      <c r="C54" s="611" t="s">
        <v>569</v>
      </c>
      <c r="D54" s="612">
        <v>114660</v>
      </c>
      <c r="E54" s="611" t="s">
        <v>568</v>
      </c>
      <c r="F54" s="613" t="s">
        <v>570</v>
      </c>
    </row>
    <row r="55" spans="2:6" ht="15.75" thickBot="1">
      <c r="B55" s="595">
        <v>12</v>
      </c>
      <c r="C55" s="583" t="s">
        <v>567</v>
      </c>
      <c r="D55" s="584">
        <f>D54*D44</f>
        <v>229320</v>
      </c>
      <c r="E55" s="583" t="s">
        <v>537</v>
      </c>
      <c r="F55" s="585"/>
    </row>
    <row r="56" spans="2:6" ht="15.75" thickBot="1"/>
    <row r="57" spans="2:6" ht="15.75" thickBot="1">
      <c r="B57" s="1389" t="s">
        <v>577</v>
      </c>
      <c r="C57" s="1390"/>
      <c r="D57" s="1390"/>
      <c r="E57" s="1390"/>
      <c r="F57" s="1391"/>
    </row>
    <row r="58" spans="2:6" ht="15.75" thickBot="1">
      <c r="B58" s="620" t="s">
        <v>227</v>
      </c>
      <c r="C58" s="623" t="s">
        <v>514</v>
      </c>
      <c r="D58" s="623" t="s">
        <v>271</v>
      </c>
      <c r="E58" s="623" t="s">
        <v>67</v>
      </c>
      <c r="F58" s="624" t="s">
        <v>515</v>
      </c>
    </row>
    <row r="59" spans="2:6">
      <c r="B59" s="625">
        <v>1</v>
      </c>
      <c r="C59" s="626" t="s">
        <v>578</v>
      </c>
      <c r="D59" s="627">
        <f>Charakterystyka_2028!L28</f>
        <v>5395</v>
      </c>
      <c r="E59" s="628" t="s">
        <v>517</v>
      </c>
      <c r="F59" s="629" t="s">
        <v>579</v>
      </c>
    </row>
    <row r="60" spans="2:6">
      <c r="B60" s="621">
        <v>2</v>
      </c>
      <c r="C60" s="619" t="s">
        <v>580</v>
      </c>
      <c r="D60" s="617">
        <f>Charakterystyka_2028!L86</f>
        <v>72.948100092678402</v>
      </c>
      <c r="E60" s="579" t="s">
        <v>520</v>
      </c>
      <c r="F60" s="581" t="s">
        <v>579</v>
      </c>
    </row>
    <row r="61" spans="2:6">
      <c r="B61" s="621">
        <v>3</v>
      </c>
      <c r="C61" s="619" t="s">
        <v>581</v>
      </c>
      <c r="D61" s="580">
        <f>Charakterystyka_2028!L67</f>
        <v>393555</v>
      </c>
      <c r="E61" s="579" t="s">
        <v>520</v>
      </c>
      <c r="F61" s="581"/>
    </row>
    <row r="62" spans="2:6">
      <c r="B62" s="621">
        <v>4</v>
      </c>
      <c r="C62" s="619" t="s">
        <v>582</v>
      </c>
      <c r="D62" s="617">
        <f>'Ciepło_gosp. dom._2024'!C23</f>
        <v>253266.11391120145</v>
      </c>
      <c r="E62" s="579" t="s">
        <v>583</v>
      </c>
      <c r="F62" s="618" t="s">
        <v>584</v>
      </c>
    </row>
    <row r="63" spans="2:6">
      <c r="B63" s="621">
        <v>5</v>
      </c>
      <c r="C63" s="619" t="s">
        <v>582</v>
      </c>
      <c r="D63" s="582">
        <f>'Ciepło_gosp. dom._2020'!C16</f>
        <v>0.6796244094049243</v>
      </c>
      <c r="E63" s="579" t="s">
        <v>585</v>
      </c>
      <c r="F63" s="581"/>
    </row>
    <row r="64" spans="2:6">
      <c r="B64" s="621">
        <v>6</v>
      </c>
      <c r="C64" s="619" t="s">
        <v>586</v>
      </c>
      <c r="D64" s="580">
        <v>53</v>
      </c>
      <c r="E64" s="579" t="s">
        <v>517</v>
      </c>
      <c r="F64" s="581"/>
    </row>
    <row r="65" spans="2:6">
      <c r="B65" s="621">
        <v>7</v>
      </c>
      <c r="C65" s="619" t="s">
        <v>529</v>
      </c>
      <c r="D65" s="582">
        <f>Wskaźniki!C8</f>
        <v>9.4729999999999995E-2</v>
      </c>
      <c r="E65" s="579" t="s">
        <v>530</v>
      </c>
      <c r="F65" s="581" t="s">
        <v>531</v>
      </c>
    </row>
    <row r="66" spans="2:6">
      <c r="B66" s="621">
        <v>8</v>
      </c>
      <c r="C66" s="619" t="s">
        <v>532</v>
      </c>
      <c r="D66" s="580">
        <f>((D64*D63*D60)*D65)</f>
        <v>248.91230174585874</v>
      </c>
      <c r="E66" s="579" t="s">
        <v>533</v>
      </c>
      <c r="F66" s="581"/>
    </row>
    <row r="67" spans="2:6">
      <c r="B67" s="621">
        <v>9</v>
      </c>
      <c r="C67" s="619" t="s">
        <v>587</v>
      </c>
      <c r="D67" s="580">
        <v>8000</v>
      </c>
      <c r="E67" s="579" t="s">
        <v>588</v>
      </c>
      <c r="F67" s="581" t="s">
        <v>523</v>
      </c>
    </row>
    <row r="68" spans="2:6">
      <c r="B68" s="621">
        <v>10</v>
      </c>
      <c r="C68" s="619" t="s">
        <v>536</v>
      </c>
      <c r="D68" s="580">
        <f>D67*D64</f>
        <v>424000</v>
      </c>
      <c r="E68" s="579" t="s">
        <v>537</v>
      </c>
      <c r="F68" s="581"/>
    </row>
    <row r="69" spans="2:6" ht="15.75" thickBot="1">
      <c r="B69" s="622">
        <v>11</v>
      </c>
      <c r="C69" s="583" t="s">
        <v>538</v>
      </c>
      <c r="D69" s="584">
        <f>D68/D66</f>
        <v>1703.4111895076487</v>
      </c>
      <c r="E69" s="583" t="s">
        <v>539</v>
      </c>
      <c r="F69" s="585"/>
    </row>
  </sheetData>
  <mergeCells count="5">
    <mergeCell ref="B2:F2"/>
    <mergeCell ref="B16:F16"/>
    <mergeCell ref="B29:F29"/>
    <mergeCell ref="B42:F42"/>
    <mergeCell ref="B57:F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AJ141"/>
  <sheetViews>
    <sheetView showGridLines="0" view="pageBreakPreview" topLeftCell="A112" zoomScale="74" zoomScaleNormal="90" zoomScaleSheetLayoutView="74" workbookViewId="0">
      <selection activeCell="AG125" sqref="AG125"/>
    </sheetView>
  </sheetViews>
  <sheetFormatPr defaultRowHeight="15"/>
  <cols>
    <col min="1" max="1" width="2.5" style="6" customWidth="1"/>
    <col min="2" max="2" width="17.5" style="6" customWidth="1"/>
    <col min="3" max="4" width="7.5" style="6" customWidth="1"/>
    <col min="5" max="22" width="6" style="6" customWidth="1"/>
    <col min="23" max="29" width="7" style="6" customWidth="1"/>
    <col min="30" max="35" width="8.625" style="6" bestFit="1" customWidth="1"/>
    <col min="36" max="36" width="7" style="6" customWidth="1"/>
    <col min="37" max="16384" width="9" style="6"/>
  </cols>
  <sheetData>
    <row r="1" spans="2:36" s="9" customFormat="1" ht="15" customHeight="1" thickBot="1"/>
    <row r="2" spans="2:36" s="9" customFormat="1" ht="19.5" thickBot="1">
      <c r="B2" s="10" t="s">
        <v>22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2"/>
    </row>
    <row r="3" spans="2:36" s="9" customFormat="1" ht="19.5" thickBot="1"/>
    <row r="4" spans="2:36" s="9" customFormat="1" ht="19.5" thickBot="1">
      <c r="B4" s="44" t="s">
        <v>36</v>
      </c>
      <c r="C4" s="4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36" s="9" customFormat="1" ht="19.5" thickBot="1">
      <c r="B5" s="48" t="s">
        <v>9</v>
      </c>
      <c r="C5" s="49">
        <v>2005</v>
      </c>
      <c r="D5" s="49">
        <v>2011</v>
      </c>
      <c r="E5" s="49">
        <v>2012</v>
      </c>
      <c r="F5" s="49">
        <v>2013</v>
      </c>
      <c r="G5" s="49">
        <v>2014</v>
      </c>
      <c r="H5" s="49">
        <v>2015</v>
      </c>
      <c r="I5" s="49">
        <v>2016</v>
      </c>
      <c r="J5" s="49">
        <v>2017</v>
      </c>
      <c r="K5" s="49">
        <v>2018</v>
      </c>
      <c r="L5" s="49">
        <v>2019</v>
      </c>
      <c r="M5" s="49">
        <v>2020</v>
      </c>
      <c r="N5" s="49">
        <v>2021</v>
      </c>
      <c r="O5" s="49">
        <v>2022</v>
      </c>
      <c r="P5" s="49">
        <v>2023</v>
      </c>
      <c r="Q5" s="49">
        <v>2024</v>
      </c>
      <c r="R5" s="49">
        <v>2025</v>
      </c>
      <c r="S5" s="49">
        <v>2026</v>
      </c>
      <c r="T5" s="49">
        <v>2027</v>
      </c>
      <c r="U5" s="49">
        <v>2028</v>
      </c>
      <c r="V5" s="49">
        <v>2029</v>
      </c>
    </row>
    <row r="6" spans="2:36" ht="15.75" thickBot="1"/>
    <row r="7" spans="2:36" ht="15.75" thickBot="1">
      <c r="B7" s="44" t="s">
        <v>23</v>
      </c>
      <c r="C7" s="45"/>
      <c r="AB7" s="1060" t="s">
        <v>28</v>
      </c>
      <c r="AC7" s="1061"/>
      <c r="AD7" s="1061"/>
      <c r="AE7" s="1061"/>
      <c r="AF7" s="1062"/>
    </row>
    <row r="8" spans="2:36">
      <c r="B8" s="36" t="s">
        <v>9</v>
      </c>
      <c r="C8" s="37">
        <v>2005</v>
      </c>
      <c r="D8" s="37">
        <v>2011</v>
      </c>
      <c r="E8" s="37">
        <v>2012</v>
      </c>
      <c r="F8" s="37">
        <v>2013</v>
      </c>
      <c r="G8" s="37">
        <v>2014</v>
      </c>
      <c r="H8" s="37">
        <v>2015</v>
      </c>
      <c r="I8" s="37">
        <v>2016</v>
      </c>
      <c r="J8" s="37">
        <v>2017</v>
      </c>
      <c r="K8" s="37">
        <v>2018</v>
      </c>
      <c r="L8" s="37">
        <v>2019</v>
      </c>
      <c r="M8" s="37">
        <v>2020</v>
      </c>
      <c r="N8" s="37">
        <v>2021</v>
      </c>
      <c r="O8" s="37">
        <v>2022</v>
      </c>
      <c r="P8" s="37">
        <v>2023</v>
      </c>
      <c r="Q8" s="37">
        <v>2024</v>
      </c>
      <c r="R8" s="1054" t="s">
        <v>27</v>
      </c>
      <c r="S8" s="1055"/>
      <c r="T8" s="1055"/>
      <c r="U8" s="1056"/>
      <c r="AB8" s="1076" t="s">
        <v>9</v>
      </c>
      <c r="AC8" s="1077"/>
      <c r="AD8" s="37">
        <v>2024</v>
      </c>
      <c r="AE8" s="37">
        <v>2025</v>
      </c>
      <c r="AF8" s="37">
        <v>2026</v>
      </c>
      <c r="AG8" s="37">
        <v>2027</v>
      </c>
      <c r="AH8" s="37">
        <v>2028</v>
      </c>
      <c r="AI8" s="37">
        <v>2029</v>
      </c>
    </row>
    <row r="9" spans="2:36" ht="30.75" customHeight="1" thickBot="1">
      <c r="B9" s="361" t="s">
        <v>38</v>
      </c>
      <c r="C9" s="362">
        <v>10869</v>
      </c>
      <c r="D9" s="363">
        <v>10880</v>
      </c>
      <c r="E9" s="363">
        <v>10791</v>
      </c>
      <c r="F9" s="363">
        <v>10791</v>
      </c>
      <c r="G9" s="635">
        <v>10719</v>
      </c>
      <c r="H9" s="644">
        <v>10683</v>
      </c>
      <c r="I9" s="645">
        <v>10526</v>
      </c>
      <c r="J9" s="645">
        <v>10586</v>
      </c>
      <c r="K9" s="645">
        <v>10596</v>
      </c>
      <c r="L9" s="645">
        <v>10618</v>
      </c>
      <c r="M9" s="644">
        <v>10445</v>
      </c>
      <c r="N9" s="645">
        <v>10349</v>
      </c>
      <c r="O9" s="645">
        <v>10266</v>
      </c>
      <c r="P9" s="645">
        <v>10153</v>
      </c>
      <c r="Q9" s="645">
        <v>10018</v>
      </c>
      <c r="R9" s="1057">
        <f>(Q9/L9)^(1/5)-1</f>
        <v>-1.1566033028155065E-2</v>
      </c>
      <c r="S9" s="1058"/>
      <c r="T9" s="1058"/>
      <c r="U9" s="1059"/>
      <c r="AB9" s="1074" t="s">
        <v>38</v>
      </c>
      <c r="AC9" s="1075"/>
      <c r="AD9" s="50">
        <f>Q9</f>
        <v>10018</v>
      </c>
      <c r="AE9" s="50">
        <f>INT(AD9*(1+R9))</f>
        <v>9902</v>
      </c>
      <c r="AF9" s="50">
        <f>INT(AE9*(1+R9))</f>
        <v>9787</v>
      </c>
      <c r="AG9" s="50">
        <f>INT(AF9*(1+R9))</f>
        <v>9673</v>
      </c>
      <c r="AH9" s="50">
        <f>INT(AG9*(1+R9))</f>
        <v>9561</v>
      </c>
      <c r="AI9" s="50">
        <f>INT(AH9*(1+R9))</f>
        <v>9450</v>
      </c>
    </row>
    <row r="25" spans="2:35" ht="15.75" thickBot="1"/>
    <row r="26" spans="2:35" ht="15.75" thickBot="1">
      <c r="B26" s="44" t="s">
        <v>34</v>
      </c>
      <c r="C26" s="45"/>
      <c r="AB26" s="1060" t="s">
        <v>35</v>
      </c>
      <c r="AC26" s="1061"/>
      <c r="AD26" s="1061"/>
      <c r="AE26" s="1061"/>
      <c r="AF26" s="1062"/>
    </row>
    <row r="27" spans="2:35">
      <c r="B27" s="36" t="s">
        <v>9</v>
      </c>
      <c r="C27" s="37">
        <v>2005</v>
      </c>
      <c r="D27" s="37">
        <f>D5</f>
        <v>2011</v>
      </c>
      <c r="E27" s="37">
        <f t="shared" ref="E27:Q27" si="0">E5</f>
        <v>2012</v>
      </c>
      <c r="F27" s="37">
        <f t="shared" si="0"/>
        <v>2013</v>
      </c>
      <c r="G27" s="37">
        <f t="shared" si="0"/>
        <v>2014</v>
      </c>
      <c r="H27" s="37">
        <f t="shared" si="0"/>
        <v>2015</v>
      </c>
      <c r="I27" s="37">
        <f t="shared" si="0"/>
        <v>2016</v>
      </c>
      <c r="J27" s="37">
        <f t="shared" si="0"/>
        <v>2017</v>
      </c>
      <c r="K27" s="37">
        <f t="shared" si="0"/>
        <v>2018</v>
      </c>
      <c r="L27" s="37">
        <f t="shared" si="0"/>
        <v>2019</v>
      </c>
      <c r="M27" s="37">
        <f t="shared" si="0"/>
        <v>2020</v>
      </c>
      <c r="N27" s="37">
        <f t="shared" si="0"/>
        <v>2021</v>
      </c>
      <c r="O27" s="37">
        <f t="shared" si="0"/>
        <v>2022</v>
      </c>
      <c r="P27" s="37">
        <f t="shared" si="0"/>
        <v>2023</v>
      </c>
      <c r="Q27" s="37">
        <f t="shared" si="0"/>
        <v>2024</v>
      </c>
      <c r="R27" s="1054" t="s">
        <v>27</v>
      </c>
      <c r="S27" s="1055"/>
      <c r="T27" s="1055"/>
      <c r="U27" s="1056"/>
      <c r="AB27" s="1063" t="s">
        <v>9</v>
      </c>
      <c r="AC27" s="1064"/>
      <c r="AD27" s="37">
        <f t="shared" ref="AD27:AI27" si="1">AD8</f>
        <v>2024</v>
      </c>
      <c r="AE27" s="37">
        <f t="shared" si="1"/>
        <v>2025</v>
      </c>
      <c r="AF27" s="37">
        <f t="shared" si="1"/>
        <v>2026</v>
      </c>
      <c r="AG27" s="37">
        <f t="shared" si="1"/>
        <v>2027</v>
      </c>
      <c r="AH27" s="37">
        <f t="shared" si="1"/>
        <v>2028</v>
      </c>
      <c r="AI27" s="37">
        <f t="shared" si="1"/>
        <v>2029</v>
      </c>
    </row>
    <row r="28" spans="2:35" ht="15.75" thickBot="1">
      <c r="B28" s="39" t="s">
        <v>37</v>
      </c>
      <c r="C28" s="638">
        <v>4696</v>
      </c>
      <c r="D28" s="639">
        <v>5016</v>
      </c>
      <c r="E28" s="635">
        <v>5034</v>
      </c>
      <c r="F28" s="636">
        <v>5112</v>
      </c>
      <c r="G28" s="636">
        <v>5115</v>
      </c>
      <c r="H28" s="638">
        <v>5162</v>
      </c>
      <c r="I28" s="639">
        <v>5227</v>
      </c>
      <c r="J28" s="639">
        <v>5330</v>
      </c>
      <c r="K28" s="639">
        <v>5372</v>
      </c>
      <c r="L28" s="636">
        <v>5395</v>
      </c>
      <c r="M28" s="638">
        <v>5412</v>
      </c>
      <c r="N28" s="639">
        <v>5473</v>
      </c>
      <c r="O28" s="639">
        <v>5546</v>
      </c>
      <c r="P28" s="639">
        <v>5566</v>
      </c>
      <c r="Q28" s="646">
        <v>5767</v>
      </c>
      <c r="R28" s="1057">
        <f>(P28/L28)^(1/4)-1</f>
        <v>7.8315233019485841E-3</v>
      </c>
      <c r="S28" s="1058"/>
      <c r="T28" s="1058"/>
      <c r="U28" s="1059"/>
      <c r="AB28" s="1065" t="s">
        <v>37</v>
      </c>
      <c r="AC28" s="1066"/>
      <c r="AD28" s="50">
        <f>Q28</f>
        <v>5767</v>
      </c>
      <c r="AE28" s="50">
        <f>INT(AD28*(1+R28))</f>
        <v>5812</v>
      </c>
      <c r="AF28" s="50">
        <f>INT(AE28*(1+R28))</f>
        <v>5857</v>
      </c>
      <c r="AG28" s="50">
        <f>INT(AF28*(1+R28))</f>
        <v>5902</v>
      </c>
      <c r="AH28" s="50">
        <f>INT(AG28*(1+R28))</f>
        <v>5948</v>
      </c>
      <c r="AI28" s="50">
        <f>INT(AH28*(1+R28))</f>
        <v>5994</v>
      </c>
    </row>
    <row r="45" spans="2:21" ht="15.75" thickBot="1"/>
    <row r="46" spans="2:21" ht="15.75" thickBot="1">
      <c r="B46" s="44" t="s">
        <v>24</v>
      </c>
      <c r="C46" s="45"/>
      <c r="R46" s="114"/>
      <c r="S46" s="114"/>
      <c r="T46" s="114"/>
      <c r="U46" s="114"/>
    </row>
    <row r="47" spans="2:21">
      <c r="B47" s="36" t="s">
        <v>9</v>
      </c>
      <c r="C47" s="37">
        <v>2005</v>
      </c>
      <c r="D47" s="37">
        <f>D5</f>
        <v>2011</v>
      </c>
      <c r="E47" s="37">
        <f t="shared" ref="E47:Q47" si="2">E5</f>
        <v>2012</v>
      </c>
      <c r="F47" s="37">
        <f t="shared" si="2"/>
        <v>2013</v>
      </c>
      <c r="G47" s="37">
        <f t="shared" si="2"/>
        <v>2014</v>
      </c>
      <c r="H47" s="37">
        <f t="shared" si="2"/>
        <v>2015</v>
      </c>
      <c r="I47" s="37">
        <f t="shared" si="2"/>
        <v>2016</v>
      </c>
      <c r="J47" s="37">
        <f t="shared" si="2"/>
        <v>2017</v>
      </c>
      <c r="K47" s="37">
        <f t="shared" si="2"/>
        <v>2018</v>
      </c>
      <c r="L47" s="37">
        <f t="shared" si="2"/>
        <v>2019</v>
      </c>
      <c r="M47" s="37">
        <f t="shared" si="2"/>
        <v>2020</v>
      </c>
      <c r="N47" s="37">
        <f t="shared" si="2"/>
        <v>2021</v>
      </c>
      <c r="O47" s="37">
        <f t="shared" si="2"/>
        <v>2022</v>
      </c>
      <c r="P47" s="37">
        <f t="shared" si="2"/>
        <v>2023</v>
      </c>
      <c r="Q47" s="37">
        <f t="shared" si="2"/>
        <v>2024</v>
      </c>
      <c r="R47" s="1071"/>
      <c r="S47" s="1071"/>
      <c r="T47" s="1071"/>
      <c r="U47" s="1071"/>
    </row>
    <row r="48" spans="2:21" ht="15.75" customHeight="1" thickBot="1">
      <c r="B48" s="39" t="s">
        <v>29</v>
      </c>
      <c r="C48" s="115">
        <v>24</v>
      </c>
      <c r="D48" s="115">
        <v>51</v>
      </c>
      <c r="E48" s="115">
        <f>E28-D28</f>
        <v>18</v>
      </c>
      <c r="F48" s="115">
        <f t="shared" ref="F48:Q48" si="3">F28-E28</f>
        <v>78</v>
      </c>
      <c r="G48" s="115">
        <f t="shared" si="3"/>
        <v>3</v>
      </c>
      <c r="H48" s="115">
        <f t="shared" si="3"/>
        <v>47</v>
      </c>
      <c r="I48" s="115">
        <f t="shared" si="3"/>
        <v>65</v>
      </c>
      <c r="J48" s="115">
        <f t="shared" si="3"/>
        <v>103</v>
      </c>
      <c r="K48" s="115">
        <f t="shared" si="3"/>
        <v>42</v>
      </c>
      <c r="L48" s="115">
        <f t="shared" si="3"/>
        <v>23</v>
      </c>
      <c r="M48" s="115">
        <f t="shared" si="3"/>
        <v>17</v>
      </c>
      <c r="N48" s="115">
        <f t="shared" si="3"/>
        <v>61</v>
      </c>
      <c r="O48" s="115">
        <f t="shared" si="3"/>
        <v>73</v>
      </c>
      <c r="P48" s="115">
        <f t="shared" si="3"/>
        <v>20</v>
      </c>
      <c r="Q48" s="115">
        <f t="shared" si="3"/>
        <v>201</v>
      </c>
      <c r="R48" s="1070"/>
      <c r="S48" s="1070"/>
      <c r="T48" s="1070"/>
      <c r="U48" s="1070"/>
    </row>
    <row r="49" spans="18:23">
      <c r="R49" s="114"/>
      <c r="S49" s="114"/>
      <c r="T49" s="114"/>
      <c r="U49" s="114"/>
      <c r="W49" s="95"/>
    </row>
    <row r="50" spans="18:23">
      <c r="R50" s="114"/>
      <c r="S50" s="114"/>
      <c r="T50" s="114"/>
      <c r="U50" s="114"/>
    </row>
    <row r="64" spans="18:23" ht="15.75" thickBot="1"/>
    <row r="65" spans="2:35" ht="18" thickBot="1">
      <c r="B65" s="41" t="s">
        <v>25</v>
      </c>
      <c r="C65" s="42"/>
      <c r="D65" s="43"/>
      <c r="AB65" s="1060" t="s">
        <v>30</v>
      </c>
      <c r="AC65" s="1061"/>
      <c r="AD65" s="1061"/>
      <c r="AE65" s="1061"/>
      <c r="AF65" s="1062"/>
    </row>
    <row r="66" spans="2:35">
      <c r="B66" s="40" t="s">
        <v>9</v>
      </c>
      <c r="C66" s="37">
        <v>2005</v>
      </c>
      <c r="D66" s="37">
        <f>D5</f>
        <v>2011</v>
      </c>
      <c r="E66" s="37">
        <f t="shared" ref="E66:Q66" si="4">E5</f>
        <v>2012</v>
      </c>
      <c r="F66" s="37">
        <f t="shared" si="4"/>
        <v>2013</v>
      </c>
      <c r="G66" s="37">
        <f t="shared" si="4"/>
        <v>2014</v>
      </c>
      <c r="H66" s="37">
        <f t="shared" si="4"/>
        <v>2015</v>
      </c>
      <c r="I66" s="37">
        <f t="shared" si="4"/>
        <v>2016</v>
      </c>
      <c r="J66" s="37">
        <f t="shared" si="4"/>
        <v>2017</v>
      </c>
      <c r="K66" s="37">
        <f t="shared" si="4"/>
        <v>2018</v>
      </c>
      <c r="L66" s="37">
        <f t="shared" si="4"/>
        <v>2019</v>
      </c>
      <c r="M66" s="37">
        <f t="shared" si="4"/>
        <v>2020</v>
      </c>
      <c r="N66" s="37">
        <f t="shared" si="4"/>
        <v>2021</v>
      </c>
      <c r="O66" s="37">
        <f t="shared" si="4"/>
        <v>2022</v>
      </c>
      <c r="P66" s="37">
        <f t="shared" si="4"/>
        <v>2023</v>
      </c>
      <c r="Q66" s="37">
        <f t="shared" si="4"/>
        <v>2024</v>
      </c>
      <c r="R66" s="1054" t="s">
        <v>27</v>
      </c>
      <c r="S66" s="1055"/>
      <c r="T66" s="1055"/>
      <c r="U66" s="1056"/>
      <c r="AB66" s="1063" t="s">
        <v>9</v>
      </c>
      <c r="AC66" s="1064"/>
      <c r="AD66" s="37">
        <f t="shared" ref="AD66:AI66" si="5">AD8</f>
        <v>2024</v>
      </c>
      <c r="AE66" s="37">
        <f t="shared" si="5"/>
        <v>2025</v>
      </c>
      <c r="AF66" s="37">
        <f t="shared" si="5"/>
        <v>2026</v>
      </c>
      <c r="AG66" s="37">
        <f t="shared" si="5"/>
        <v>2027</v>
      </c>
      <c r="AH66" s="37">
        <f t="shared" si="5"/>
        <v>2028</v>
      </c>
      <c r="AI66" s="37">
        <f t="shared" si="5"/>
        <v>2029</v>
      </c>
    </row>
    <row r="67" spans="2:35" ht="30.75" thickBot="1">
      <c r="B67" s="39" t="s">
        <v>40</v>
      </c>
      <c r="C67" s="638">
        <v>333934</v>
      </c>
      <c r="D67" s="639">
        <v>363498</v>
      </c>
      <c r="E67" s="639">
        <v>365890</v>
      </c>
      <c r="F67" s="639">
        <v>371679</v>
      </c>
      <c r="G67" s="639">
        <v>372656</v>
      </c>
      <c r="H67" s="639">
        <v>375271</v>
      </c>
      <c r="I67" s="639">
        <v>379958</v>
      </c>
      <c r="J67" s="639">
        <v>386716</v>
      </c>
      <c r="K67" s="639">
        <v>390805</v>
      </c>
      <c r="L67" s="635">
        <v>393555</v>
      </c>
      <c r="M67" s="636">
        <v>396213</v>
      </c>
      <c r="N67" s="636">
        <v>400425</v>
      </c>
      <c r="O67" s="636">
        <v>407354</v>
      </c>
      <c r="P67" s="636">
        <v>410470</v>
      </c>
      <c r="Q67" s="637">
        <v>419569</v>
      </c>
      <c r="R67" s="1057">
        <f>(P67/L67)^(1/4)-1</f>
        <v>1.0576038891789485E-2</v>
      </c>
      <c r="S67" s="1058"/>
      <c r="T67" s="1058"/>
      <c r="U67" s="1059"/>
      <c r="AB67" s="1065" t="s">
        <v>39</v>
      </c>
      <c r="AC67" s="1066"/>
      <c r="AD67" s="50">
        <f>Q67</f>
        <v>419569</v>
      </c>
      <c r="AE67" s="50">
        <f>INT(AD67*(1+R67))</f>
        <v>424006</v>
      </c>
      <c r="AF67" s="50">
        <f>INT(AE67*(1+R67))</f>
        <v>428490</v>
      </c>
      <c r="AG67" s="50">
        <f>INT(AF67*(1+R67))</f>
        <v>433021</v>
      </c>
      <c r="AH67" s="50">
        <f>INT(AG67*(1+R67))</f>
        <v>437600</v>
      </c>
      <c r="AI67" s="50">
        <f>INT(AH67*(1+R67))</f>
        <v>442228</v>
      </c>
    </row>
    <row r="83" spans="2:35" ht="15.75" thickBot="1"/>
    <row r="84" spans="2:35" ht="18" thickBot="1">
      <c r="B84" s="41" t="s">
        <v>72</v>
      </c>
      <c r="C84" s="42"/>
      <c r="D84" s="43"/>
      <c r="AB84" s="1067" t="s">
        <v>88</v>
      </c>
      <c r="AC84" s="1068"/>
      <c r="AD84" s="1068"/>
      <c r="AE84" s="1068"/>
      <c r="AF84" s="1068"/>
      <c r="AG84" s="1069"/>
      <c r="AH84" s="92"/>
      <c r="AI84" s="92"/>
    </row>
    <row r="85" spans="2:35">
      <c r="B85" s="40" t="s">
        <v>9</v>
      </c>
      <c r="C85" s="37">
        <v>2005</v>
      </c>
      <c r="D85" s="37">
        <f>D5</f>
        <v>2011</v>
      </c>
      <c r="E85" s="37">
        <f t="shared" ref="E85:Q85" si="6">E5</f>
        <v>2012</v>
      </c>
      <c r="F85" s="37">
        <f t="shared" si="6"/>
        <v>2013</v>
      </c>
      <c r="G85" s="37">
        <f t="shared" si="6"/>
        <v>2014</v>
      </c>
      <c r="H85" s="37">
        <f t="shared" si="6"/>
        <v>2015</v>
      </c>
      <c r="I85" s="37">
        <f t="shared" si="6"/>
        <v>2016</v>
      </c>
      <c r="J85" s="37">
        <f t="shared" si="6"/>
        <v>2017</v>
      </c>
      <c r="K85" s="37">
        <f t="shared" si="6"/>
        <v>2018</v>
      </c>
      <c r="L85" s="37">
        <f t="shared" si="6"/>
        <v>2019</v>
      </c>
      <c r="M85" s="37">
        <f t="shared" si="6"/>
        <v>2020</v>
      </c>
      <c r="N85" s="37">
        <f t="shared" si="6"/>
        <v>2021</v>
      </c>
      <c r="O85" s="37">
        <f t="shared" si="6"/>
        <v>2022</v>
      </c>
      <c r="P85" s="37">
        <f t="shared" si="6"/>
        <v>2023</v>
      </c>
      <c r="Q85" s="37">
        <f t="shared" si="6"/>
        <v>2024</v>
      </c>
      <c r="R85" s="1054" t="s">
        <v>27</v>
      </c>
      <c r="S85" s="1055"/>
      <c r="T85" s="1055"/>
      <c r="U85" s="1056"/>
      <c r="AB85" s="1063" t="s">
        <v>9</v>
      </c>
      <c r="AC85" s="1064"/>
      <c r="AD85" s="37">
        <f t="shared" ref="AD85:AI85" si="7">AD8</f>
        <v>2024</v>
      </c>
      <c r="AE85" s="37">
        <f t="shared" si="7"/>
        <v>2025</v>
      </c>
      <c r="AF85" s="37">
        <f t="shared" si="7"/>
        <v>2026</v>
      </c>
      <c r="AG85" s="37">
        <f t="shared" si="7"/>
        <v>2027</v>
      </c>
      <c r="AH85" s="37">
        <f t="shared" si="7"/>
        <v>2028</v>
      </c>
      <c r="AI85" s="37">
        <f t="shared" si="7"/>
        <v>2029</v>
      </c>
    </row>
    <row r="86" spans="2:35" ht="30.75" customHeight="1" thickBot="1">
      <c r="B86" s="39" t="s">
        <v>31</v>
      </c>
      <c r="C86" s="51">
        <f t="shared" ref="C86:Q86" si="8">C67/C28</f>
        <v>71.110306643952299</v>
      </c>
      <c r="D86" s="51">
        <f t="shared" si="8"/>
        <v>72.467703349282303</v>
      </c>
      <c r="E86" s="51">
        <f t="shared" si="8"/>
        <v>72.683750496622963</v>
      </c>
      <c r="F86" s="51">
        <f t="shared" si="8"/>
        <v>72.707159624413151</v>
      </c>
      <c r="G86" s="51">
        <f t="shared" si="8"/>
        <v>72.855522971652007</v>
      </c>
      <c r="H86" s="51">
        <f t="shared" si="8"/>
        <v>72.698760170476561</v>
      </c>
      <c r="I86" s="51">
        <f t="shared" si="8"/>
        <v>72.691409986607994</v>
      </c>
      <c r="J86" s="51">
        <f t="shared" si="8"/>
        <v>72.554596622889306</v>
      </c>
      <c r="K86" s="51">
        <f t="shared" si="8"/>
        <v>72.74851079672375</v>
      </c>
      <c r="L86" s="51">
        <f t="shared" si="8"/>
        <v>72.948100092678402</v>
      </c>
      <c r="M86" s="51">
        <f t="shared" si="8"/>
        <v>73.210088691796003</v>
      </c>
      <c r="N86" s="51">
        <f t="shared" si="8"/>
        <v>73.163712771788781</v>
      </c>
      <c r="O86" s="51">
        <f t="shared" si="8"/>
        <v>73.450054093040023</v>
      </c>
      <c r="P86" s="51">
        <f t="shared" si="8"/>
        <v>73.74595759971254</v>
      </c>
      <c r="Q86" s="51">
        <f t="shared" si="8"/>
        <v>72.753424657534254</v>
      </c>
      <c r="R86" s="1057">
        <f>(P86/L86)^(1/4)-1</f>
        <v>2.7231888727285991E-3</v>
      </c>
      <c r="S86" s="1058"/>
      <c r="T86" s="1058"/>
      <c r="U86" s="1059"/>
      <c r="AB86" s="1065" t="s">
        <v>31</v>
      </c>
      <c r="AC86" s="1066"/>
      <c r="AD86" s="93">
        <f>Q86</f>
        <v>72.753424657534254</v>
      </c>
      <c r="AE86" s="93">
        <f>(AD86*(1+$R$86))</f>
        <v>72.95154597401455</v>
      </c>
      <c r="AF86" s="93">
        <f>(AE86*(1+$R$86))</f>
        <v>73.150206812259341</v>
      </c>
      <c r="AG86" s="93">
        <f>(AF86*(1+$R$86))</f>
        <v>73.349408641488282</v>
      </c>
      <c r="AH86" s="93">
        <f>(AG86*(1+$R$86))</f>
        <v>73.549152934922006</v>
      </c>
      <c r="AI86" s="93">
        <f>(AH86*(1+$R$86))</f>
        <v>73.749441169793002</v>
      </c>
    </row>
    <row r="102" spans="2:30" ht="15.75" thickBot="1"/>
    <row r="103" spans="2:30" ht="15.75" thickBot="1">
      <c r="B103" s="46" t="s">
        <v>26</v>
      </c>
      <c r="C103" s="43"/>
      <c r="D103" s="43"/>
      <c r="W103" s="1067" t="s">
        <v>32</v>
      </c>
      <c r="X103" s="1068"/>
      <c r="Y103" s="1068"/>
      <c r="Z103" s="1068"/>
      <c r="AA103" s="1068"/>
      <c r="AB103" s="1068"/>
      <c r="AC103" s="1069"/>
    </row>
    <row r="104" spans="2:30">
      <c r="B104" s="40" t="s">
        <v>9</v>
      </c>
      <c r="C104" s="37">
        <v>2005</v>
      </c>
      <c r="D104" s="37">
        <f>D5</f>
        <v>2011</v>
      </c>
      <c r="E104" s="37">
        <f t="shared" ref="E104:Q104" si="9">E5</f>
        <v>2012</v>
      </c>
      <c r="F104" s="37">
        <f t="shared" si="9"/>
        <v>2013</v>
      </c>
      <c r="G104" s="37">
        <f t="shared" si="9"/>
        <v>2014</v>
      </c>
      <c r="H104" s="37">
        <f t="shared" si="9"/>
        <v>2015</v>
      </c>
      <c r="I104" s="37">
        <f t="shared" si="9"/>
        <v>2016</v>
      </c>
      <c r="J104" s="37">
        <f t="shared" si="9"/>
        <v>2017</v>
      </c>
      <c r="K104" s="37">
        <f t="shared" si="9"/>
        <v>2018</v>
      </c>
      <c r="L104" s="37">
        <f t="shared" si="9"/>
        <v>2019</v>
      </c>
      <c r="M104" s="37">
        <f t="shared" si="9"/>
        <v>2020</v>
      </c>
      <c r="N104" s="37">
        <f t="shared" si="9"/>
        <v>2021</v>
      </c>
      <c r="O104" s="37">
        <f t="shared" si="9"/>
        <v>2022</v>
      </c>
      <c r="P104" s="37">
        <f t="shared" si="9"/>
        <v>2023</v>
      </c>
      <c r="Q104" s="37">
        <f t="shared" si="9"/>
        <v>2024</v>
      </c>
      <c r="R104" s="1054" t="s">
        <v>27</v>
      </c>
      <c r="S104" s="1055"/>
      <c r="T104" s="1055"/>
      <c r="U104" s="1056"/>
      <c r="W104" s="1063" t="s">
        <v>9</v>
      </c>
      <c r="X104" s="1064"/>
      <c r="Y104" s="37">
        <f t="shared" ref="Y104:AD104" si="10">AD8</f>
        <v>2024</v>
      </c>
      <c r="Z104" s="37">
        <f t="shared" si="10"/>
        <v>2025</v>
      </c>
      <c r="AA104" s="37">
        <f t="shared" si="10"/>
        <v>2026</v>
      </c>
      <c r="AB104" s="37">
        <f t="shared" si="10"/>
        <v>2027</v>
      </c>
      <c r="AC104" s="37">
        <f t="shared" si="10"/>
        <v>2028</v>
      </c>
      <c r="AD104" s="37">
        <f t="shared" si="10"/>
        <v>2029</v>
      </c>
    </row>
    <row r="105" spans="2:30" ht="30.75" customHeight="1" thickBot="1">
      <c r="B105" s="39" t="s">
        <v>33</v>
      </c>
      <c r="C105" s="642">
        <v>1504</v>
      </c>
      <c r="D105" s="642">
        <v>1526</v>
      </c>
      <c r="E105" s="642">
        <v>1545</v>
      </c>
      <c r="F105" s="642">
        <v>1502</v>
      </c>
      <c r="G105" s="642">
        <v>1472</v>
      </c>
      <c r="H105" s="642">
        <v>1459</v>
      </c>
      <c r="I105" s="642">
        <v>1484</v>
      </c>
      <c r="J105" s="642">
        <v>1589</v>
      </c>
      <c r="K105" s="642">
        <v>1679</v>
      </c>
      <c r="L105" s="642">
        <v>1889</v>
      </c>
      <c r="M105" s="642">
        <v>1705</v>
      </c>
      <c r="N105" s="642">
        <v>1604</v>
      </c>
      <c r="O105" s="642">
        <v>1522</v>
      </c>
      <c r="P105" s="642">
        <v>1477</v>
      </c>
      <c r="Q105" s="643">
        <v>1489</v>
      </c>
      <c r="R105" s="1057">
        <f>(Q105/L105)^(1/5)-1</f>
        <v>-4.6473981511340079E-2</v>
      </c>
      <c r="S105" s="1058"/>
      <c r="T105" s="1058"/>
      <c r="U105" s="1059"/>
      <c r="W105" s="1065" t="s">
        <v>33</v>
      </c>
      <c r="X105" s="1066"/>
      <c r="Y105" s="50">
        <f>Q105</f>
        <v>1489</v>
      </c>
      <c r="Z105" s="50">
        <f>INT(Y105*(1+R105))</f>
        <v>1419</v>
      </c>
      <c r="AA105" s="50">
        <f>INT(Z105*(1+R105))</f>
        <v>1353</v>
      </c>
      <c r="AB105" s="50">
        <f>INT(AA105*(1+R105))</f>
        <v>1290</v>
      </c>
      <c r="AC105" s="50">
        <f>INT(AB105*(1+R105))</f>
        <v>1230</v>
      </c>
      <c r="AD105" s="50">
        <f>INT(AC105*(1+R105))</f>
        <v>1172</v>
      </c>
    </row>
    <row r="109" spans="2:30">
      <c r="U109" s="96"/>
    </row>
    <row r="124" spans="2:7">
      <c r="B124" s="749" t="s">
        <v>897</v>
      </c>
    </row>
    <row r="125" spans="2:7">
      <c r="B125" s="749" t="s">
        <v>898</v>
      </c>
    </row>
    <row r="127" spans="2:7">
      <c r="C127" s="750" t="s">
        <v>899</v>
      </c>
      <c r="D127" s="750" t="s">
        <v>900</v>
      </c>
      <c r="E127" s="750" t="s">
        <v>901</v>
      </c>
      <c r="F127" s="750" t="s">
        <v>902</v>
      </c>
      <c r="G127" s="750" t="s">
        <v>3</v>
      </c>
    </row>
    <row r="128" spans="2:7">
      <c r="C128" s="752">
        <v>2.926933</v>
      </c>
      <c r="D128" s="752">
        <v>48.974550000000008</v>
      </c>
      <c r="E128" s="752">
        <v>170.20000000000002</v>
      </c>
      <c r="F128" s="752">
        <v>7.35</v>
      </c>
      <c r="G128" s="752"/>
    </row>
    <row r="129" spans="3:18">
      <c r="C129" s="752">
        <f>C128*1000000*Wskaźniki!C11*'Budynki niekomunalne_2024'!C32</f>
        <v>29284.667128920002</v>
      </c>
      <c r="D129" s="751">
        <f>D128*0.85*Wskaźniki!C10*'Budynki niekomunalne_2024'!C32</f>
        <v>0.41165876337075014</v>
      </c>
      <c r="E129" s="751">
        <f>E128*Wskaźniki!C31*'Budynki niekomunalne_2024'!C32</f>
        <v>801.47180000000014</v>
      </c>
      <c r="F129" s="751">
        <f>F128*Wskaźniki!C30*'Budynki niekomunalne_2024'!C32</f>
        <v>57.006599999999999</v>
      </c>
      <c r="G129" s="752">
        <f>SUM(C129:F129)</f>
        <v>30143.557187683375</v>
      </c>
    </row>
    <row r="130" spans="3:18">
      <c r="C130" s="752">
        <f>C129*100/$G$129</f>
        <v>97.150667874346581</v>
      </c>
      <c r="D130" s="752">
        <f>D129*100/$G$129</f>
        <v>1.3656608634728534E-3</v>
      </c>
      <c r="E130" s="752">
        <f>E129*100/$G$129</f>
        <v>2.6588494350875105</v>
      </c>
      <c r="F130" s="752">
        <f>F129*100/$G$129</f>
        <v>0.18911702970242952</v>
      </c>
      <c r="G130" s="758">
        <f>SUM(C130:F130)</f>
        <v>99.999999999999986</v>
      </c>
    </row>
    <row r="132" spans="3:18">
      <c r="C132" s="756" t="s">
        <v>906</v>
      </c>
      <c r="D132" s="756" t="s">
        <v>907</v>
      </c>
      <c r="E132" s="756" t="s">
        <v>341</v>
      </c>
    </row>
    <row r="133" spans="3:18">
      <c r="C133" s="757">
        <v>14.077639999999999</v>
      </c>
      <c r="D133" s="757">
        <v>167.96083299999995</v>
      </c>
      <c r="E133" s="757">
        <v>11.08</v>
      </c>
      <c r="F133" s="749" t="s">
        <v>362</v>
      </c>
    </row>
    <row r="134" spans="3:18">
      <c r="C134" s="751">
        <f>C133*Wskaźniki!C17*1000</f>
        <v>630.67827199999988</v>
      </c>
      <c r="D134" s="751">
        <f>D133*Wskaźniki!C20*1000</f>
        <v>7277.7428938899984</v>
      </c>
      <c r="E134" s="751">
        <f>E133*Wskaźniki!C14*1000</f>
        <v>524.19479999999999</v>
      </c>
      <c r="F134" s="749" t="s">
        <v>207</v>
      </c>
    </row>
    <row r="135" spans="3:18">
      <c r="C135" s="751">
        <f>C134*'Budynki niekomunalne_2024'!C32</f>
        <v>174.697881344</v>
      </c>
      <c r="D135" s="751">
        <f>D134*'Budynki niekomunalne_2024'!C32</f>
        <v>2015.9347816075297</v>
      </c>
      <c r="E135" s="751">
        <f>E134*'Budynki niekomunalne_2024'!C32</f>
        <v>145.20195960000001</v>
      </c>
      <c r="F135" s="749" t="s">
        <v>214</v>
      </c>
    </row>
    <row r="141" spans="3:18">
      <c r="R141" s="131"/>
    </row>
  </sheetData>
  <mergeCells count="27">
    <mergeCell ref="AB26:AF26"/>
    <mergeCell ref="AB7:AF7"/>
    <mergeCell ref="R8:U8"/>
    <mergeCell ref="AB8:AC8"/>
    <mergeCell ref="R9:U9"/>
    <mergeCell ref="AB9:AC9"/>
    <mergeCell ref="AB84:AG84"/>
    <mergeCell ref="R27:U27"/>
    <mergeCell ref="AB27:AC27"/>
    <mergeCell ref="R28:U28"/>
    <mergeCell ref="AB28:AC28"/>
    <mergeCell ref="R47:U47"/>
    <mergeCell ref="R48:U48"/>
    <mergeCell ref="AB65:AF65"/>
    <mergeCell ref="R66:U66"/>
    <mergeCell ref="AB66:AC66"/>
    <mergeCell ref="R67:U67"/>
    <mergeCell ref="AB67:AC67"/>
    <mergeCell ref="R105:U105"/>
    <mergeCell ref="W105:X105"/>
    <mergeCell ref="R85:U85"/>
    <mergeCell ref="AB85:AC85"/>
    <mergeCell ref="R86:U86"/>
    <mergeCell ref="AB86:AC86"/>
    <mergeCell ref="R104:U104"/>
    <mergeCell ref="W104:X104"/>
    <mergeCell ref="W103:AC10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64" max="30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2:Q28"/>
  <sheetViews>
    <sheetView showGridLines="0" view="pageBreakPreview" topLeftCell="A10" zoomScale="90" zoomScaleSheetLayoutView="90" workbookViewId="0">
      <selection activeCell="E10" sqref="E10"/>
    </sheetView>
  </sheetViews>
  <sheetFormatPr defaultRowHeight="14.25"/>
  <cols>
    <col min="1" max="1" width="3" customWidth="1"/>
    <col min="2" max="2" width="5.625" customWidth="1"/>
    <col min="3" max="3" width="42.625" customWidth="1"/>
    <col min="4" max="4" width="15.25" customWidth="1"/>
    <col min="5" max="5" width="34.125" customWidth="1"/>
    <col min="6" max="6" width="12.5" customWidth="1"/>
    <col min="7" max="7" width="13.375" customWidth="1"/>
    <col min="8" max="8" width="15.75" customWidth="1"/>
    <col min="9" max="11" width="9" style="261"/>
    <col min="12" max="12" width="21.25" customWidth="1"/>
    <col min="13" max="13" width="13.125" style="164" customWidth="1"/>
  </cols>
  <sheetData>
    <row r="2" spans="2:17" ht="15" thickBot="1"/>
    <row r="3" spans="2:17" ht="15.75" thickBot="1">
      <c r="B3" s="1382" t="s">
        <v>226</v>
      </c>
      <c r="C3" s="1382"/>
      <c r="D3" s="1382"/>
      <c r="E3" s="1382"/>
      <c r="F3" s="1382"/>
      <c r="G3" s="1382"/>
      <c r="H3" s="1382"/>
      <c r="I3" s="1382"/>
      <c r="J3" s="1382"/>
      <c r="K3" s="1382"/>
      <c r="L3" s="149"/>
      <c r="M3" s="154"/>
      <c r="O3" s="1080" t="s">
        <v>211</v>
      </c>
      <c r="P3" s="1081"/>
      <c r="Q3" s="1082"/>
    </row>
    <row r="4" spans="2:17" ht="15" thickBot="1">
      <c r="B4" s="1383" t="s">
        <v>227</v>
      </c>
      <c r="C4" s="1384" t="s">
        <v>228</v>
      </c>
      <c r="D4" s="1384" t="s">
        <v>229</v>
      </c>
      <c r="E4" s="1384" t="s">
        <v>275</v>
      </c>
      <c r="F4" s="1384" t="s">
        <v>230</v>
      </c>
      <c r="G4" s="1384"/>
      <c r="H4" s="1384" t="s">
        <v>597</v>
      </c>
      <c r="I4" s="1385" t="s">
        <v>232</v>
      </c>
      <c r="J4" s="1385"/>
      <c r="K4" s="1385"/>
      <c r="L4" s="1378" t="s">
        <v>287</v>
      </c>
      <c r="M4" s="1378" t="s">
        <v>288</v>
      </c>
      <c r="O4" s="587" t="s">
        <v>212</v>
      </c>
      <c r="P4" s="590">
        <v>3.6</v>
      </c>
      <c r="Q4" s="588" t="s">
        <v>207</v>
      </c>
    </row>
    <row r="5" spans="2:17" ht="51.75" thickBot="1">
      <c r="B5" s="1383"/>
      <c r="C5" s="1384"/>
      <c r="D5" s="1384"/>
      <c r="E5" s="1384"/>
      <c r="F5" s="156" t="s">
        <v>233</v>
      </c>
      <c r="G5" s="156" t="s">
        <v>234</v>
      </c>
      <c r="H5" s="1384"/>
      <c r="I5" s="278" t="s">
        <v>235</v>
      </c>
      <c r="J5" s="278" t="s">
        <v>236</v>
      </c>
      <c r="K5" s="278" t="s">
        <v>237</v>
      </c>
      <c r="L5" s="1379"/>
      <c r="M5" s="1379"/>
      <c r="O5" s="549" t="s">
        <v>213</v>
      </c>
      <c r="P5" s="591">
        <v>0.27700000000000002</v>
      </c>
      <c r="Q5" s="589" t="s">
        <v>214</v>
      </c>
    </row>
    <row r="6" spans="2:17" ht="52.5" customHeight="1">
      <c r="B6" s="156">
        <v>1</v>
      </c>
      <c r="C6" s="654" t="s">
        <v>238</v>
      </c>
      <c r="D6" s="1381" t="s">
        <v>239</v>
      </c>
      <c r="E6" s="154" t="s">
        <v>276</v>
      </c>
      <c r="F6" s="154">
        <v>2016</v>
      </c>
      <c r="G6" s="154">
        <v>2020</v>
      </c>
      <c r="H6" s="158" t="s">
        <v>90</v>
      </c>
      <c r="I6" s="139" t="s">
        <v>90</v>
      </c>
      <c r="J6" s="139" t="s">
        <v>90</v>
      </c>
      <c r="K6" s="138" t="s">
        <v>90</v>
      </c>
      <c r="L6" s="154" t="s">
        <v>293</v>
      </c>
      <c r="M6" s="154" t="s">
        <v>289</v>
      </c>
    </row>
    <row r="7" spans="2:17" ht="65.25" customHeight="1">
      <c r="B7" s="156">
        <v>2</v>
      </c>
      <c r="C7" s="654" t="s">
        <v>240</v>
      </c>
      <c r="D7" s="1381"/>
      <c r="E7" s="154" t="s">
        <v>277</v>
      </c>
      <c r="F7" s="154">
        <v>2016</v>
      </c>
      <c r="G7" s="154">
        <v>2020</v>
      </c>
      <c r="H7" s="158" t="s">
        <v>90</v>
      </c>
      <c r="I7" s="139" t="s">
        <v>90</v>
      </c>
      <c r="J7" s="139" t="s">
        <v>90</v>
      </c>
      <c r="K7" s="138" t="s">
        <v>90</v>
      </c>
      <c r="L7" s="154" t="s">
        <v>294</v>
      </c>
      <c r="M7" s="154" t="s">
        <v>289</v>
      </c>
    </row>
    <row r="8" spans="2:17" ht="62.25" customHeight="1">
      <c r="B8" s="156">
        <v>3</v>
      </c>
      <c r="C8" s="654" t="s">
        <v>241</v>
      </c>
      <c r="D8" s="1381"/>
      <c r="E8" s="154" t="s">
        <v>278</v>
      </c>
      <c r="F8" s="154">
        <v>2016</v>
      </c>
      <c r="G8" s="154">
        <v>2020</v>
      </c>
      <c r="H8" s="158" t="s">
        <v>90</v>
      </c>
      <c r="I8" s="139" t="s">
        <v>90</v>
      </c>
      <c r="J8" s="139" t="s">
        <v>90</v>
      </c>
      <c r="K8" s="138" t="s">
        <v>90</v>
      </c>
      <c r="L8" s="154" t="s">
        <v>295</v>
      </c>
      <c r="M8" s="154" t="s">
        <v>290</v>
      </c>
    </row>
    <row r="9" spans="2:17" ht="63.75">
      <c r="B9" s="156">
        <v>4</v>
      </c>
      <c r="C9" s="651" t="s">
        <v>593</v>
      </c>
      <c r="D9" s="138" t="str">
        <f>'En. elektryczna_2020'!B20</f>
        <v>Komunalne oświetlenie publiczne</v>
      </c>
      <c r="E9" s="154" t="s">
        <v>279</v>
      </c>
      <c r="F9" s="154">
        <v>2016</v>
      </c>
      <c r="G9" s="154">
        <v>2020</v>
      </c>
      <c r="H9" s="158"/>
      <c r="I9" s="139">
        <f>363*128.2/800</f>
        <v>58.170749999999998</v>
      </c>
      <c r="J9" s="139">
        <f>I9*0.812</f>
        <v>47.234649000000005</v>
      </c>
      <c r="K9" s="138">
        <v>0</v>
      </c>
      <c r="L9" s="154" t="s">
        <v>296</v>
      </c>
      <c r="M9" s="154" t="s">
        <v>291</v>
      </c>
      <c r="P9" s="261"/>
    </row>
    <row r="10" spans="2:17" ht="76.5">
      <c r="B10" s="156">
        <v>5</v>
      </c>
      <c r="C10" s="652" t="s">
        <v>243</v>
      </c>
      <c r="D10" s="1375" t="str">
        <f>D12</f>
        <v>Budynki komunalne</v>
      </c>
      <c r="E10" s="155" t="s">
        <v>280</v>
      </c>
      <c r="F10" s="154">
        <v>2016</v>
      </c>
      <c r="G10" s="154">
        <v>2020</v>
      </c>
      <c r="H10" s="159" t="s">
        <v>594</v>
      </c>
      <c r="I10" s="138">
        <v>0</v>
      </c>
      <c r="J10" s="138">
        <v>0</v>
      </c>
      <c r="K10" s="138">
        <v>0</v>
      </c>
      <c r="L10" s="154" t="s">
        <v>297</v>
      </c>
      <c r="M10" s="154" t="s">
        <v>291</v>
      </c>
    </row>
    <row r="11" spans="2:17" ht="65.25" customHeight="1">
      <c r="B11" s="156">
        <v>6</v>
      </c>
      <c r="C11" s="654" t="s">
        <v>253</v>
      </c>
      <c r="D11" s="1377"/>
      <c r="E11" s="155" t="s">
        <v>281</v>
      </c>
      <c r="F11" s="154">
        <v>2016</v>
      </c>
      <c r="G11" s="154">
        <v>2020</v>
      </c>
      <c r="H11" s="656" t="s">
        <v>594</v>
      </c>
      <c r="I11" s="138">
        <v>0</v>
      </c>
      <c r="J11" s="138">
        <v>0</v>
      </c>
      <c r="K11" s="138">
        <v>0</v>
      </c>
      <c r="L11" s="154" t="s">
        <v>298</v>
      </c>
      <c r="M11" s="154" t="s">
        <v>291</v>
      </c>
    </row>
    <row r="12" spans="2:17" ht="63.75">
      <c r="B12" s="156">
        <v>7</v>
      </c>
      <c r="C12" s="658" t="s">
        <v>244</v>
      </c>
      <c r="D12" s="1375" t="str">
        <f>'En. elektryczna_2020'!B19</f>
        <v>Budynki komunalne</v>
      </c>
      <c r="E12" s="155" t="s">
        <v>282</v>
      </c>
      <c r="F12" s="154">
        <v>2016</v>
      </c>
      <c r="G12" s="154">
        <v>2020</v>
      </c>
      <c r="H12" s="159" t="s">
        <v>591</v>
      </c>
      <c r="I12" s="138">
        <f>(0.2*'Budynki niekomunalne_2024'!H15)/2</f>
        <v>84.723220000000012</v>
      </c>
      <c r="J12" s="138">
        <f>(0.2*'Budynki niekomunalne_2024'!L15)/2</f>
        <v>17.073105200000001</v>
      </c>
      <c r="K12" s="138">
        <v>0</v>
      </c>
      <c r="L12" s="154" t="s">
        <v>299</v>
      </c>
      <c r="M12" s="154" t="s">
        <v>291</v>
      </c>
    </row>
    <row r="13" spans="2:17" ht="63.75">
      <c r="B13" s="156">
        <v>8</v>
      </c>
      <c r="C13" s="156" t="s">
        <v>260</v>
      </c>
      <c r="D13" s="1376"/>
      <c r="E13" s="155" t="s">
        <v>282</v>
      </c>
      <c r="F13" s="154">
        <v>2016</v>
      </c>
      <c r="G13" s="154">
        <v>2020</v>
      </c>
      <c r="H13" s="159" t="s">
        <v>598</v>
      </c>
      <c r="I13" s="138">
        <v>0</v>
      </c>
      <c r="J13" s="138">
        <v>0</v>
      </c>
      <c r="K13" s="138">
        <f>(I13*0.2)</f>
        <v>0</v>
      </c>
      <c r="L13" s="154" t="s">
        <v>299</v>
      </c>
      <c r="M13" s="154" t="s">
        <v>291</v>
      </c>
    </row>
    <row r="14" spans="2:17" ht="63.75">
      <c r="B14" s="156">
        <v>9</v>
      </c>
      <c r="C14" s="156" t="s">
        <v>245</v>
      </c>
      <c r="D14" s="1376"/>
      <c r="E14" s="155" t="s">
        <v>282</v>
      </c>
      <c r="F14" s="154">
        <v>2016</v>
      </c>
      <c r="G14" s="154">
        <v>2019</v>
      </c>
      <c r="H14" s="159" t="s">
        <v>591</v>
      </c>
      <c r="I14" s="138">
        <f>(0.2*'Budynki niekomunalne_2024'!H9)*0.65</f>
        <v>537.26920000000007</v>
      </c>
      <c r="J14" s="138">
        <f>(0.2*'Budynki niekomunalne_2024'!L9)*0.65</f>
        <v>108.26847200000002</v>
      </c>
      <c r="K14" s="138">
        <f>(I14*0.2)</f>
        <v>107.45384000000001</v>
      </c>
      <c r="L14" s="154" t="s">
        <v>299</v>
      </c>
      <c r="M14" s="154" t="s">
        <v>291</v>
      </c>
    </row>
    <row r="15" spans="2:17" ht="63.75">
      <c r="B15" s="156">
        <v>10</v>
      </c>
      <c r="C15" s="156" t="s">
        <v>261</v>
      </c>
      <c r="D15" s="1377"/>
      <c r="E15" s="155" t="s">
        <v>281</v>
      </c>
      <c r="F15" s="154">
        <v>2016</v>
      </c>
      <c r="G15" s="154">
        <v>2020</v>
      </c>
      <c r="H15" s="649">
        <v>24000000</v>
      </c>
      <c r="I15" s="650">
        <f>J15/Wskaźniki!C7</f>
        <v>1150.7598167769429</v>
      </c>
      <c r="J15" s="650">
        <f>0.1*'Budynki niekomunalne_2024'!P8</f>
        <v>934.41697122287769</v>
      </c>
      <c r="K15" s="650">
        <f>0.01*'Budynki niekomunalne_2024'!P5</f>
        <v>328.79547127288208</v>
      </c>
      <c r="L15" s="154" t="s">
        <v>300</v>
      </c>
      <c r="M15" s="154" t="s">
        <v>291</v>
      </c>
    </row>
    <row r="16" spans="2:17" ht="38.25" customHeight="1">
      <c r="B16" s="156">
        <v>11</v>
      </c>
      <c r="C16" s="156" t="s">
        <v>246</v>
      </c>
      <c r="D16" s="1381" t="s">
        <v>385</v>
      </c>
      <c r="E16" s="154" t="s">
        <v>279</v>
      </c>
      <c r="F16" s="154">
        <v>2016</v>
      </c>
      <c r="G16" s="154">
        <v>2020</v>
      </c>
      <c r="H16" s="159" t="s">
        <v>594</v>
      </c>
      <c r="I16" s="138">
        <v>0</v>
      </c>
      <c r="J16" s="138">
        <v>0</v>
      </c>
      <c r="K16" s="138">
        <v>0</v>
      </c>
      <c r="L16" s="154" t="s">
        <v>301</v>
      </c>
      <c r="M16" s="154" t="s">
        <v>291</v>
      </c>
      <c r="N16" s="134"/>
    </row>
    <row r="17" spans="2:13" ht="36.75" customHeight="1">
      <c r="B17" s="156">
        <v>12</v>
      </c>
      <c r="C17" s="156" t="s">
        <v>247</v>
      </c>
      <c r="D17" s="1381"/>
      <c r="E17" s="154" t="s">
        <v>279</v>
      </c>
      <c r="F17" s="1381">
        <v>2017</v>
      </c>
      <c r="G17" s="1381"/>
      <c r="H17" s="159" t="s">
        <v>594</v>
      </c>
      <c r="I17" s="138">
        <v>0</v>
      </c>
      <c r="J17" s="138">
        <v>0</v>
      </c>
      <c r="K17" s="138">
        <v>0</v>
      </c>
      <c r="L17" s="154" t="s">
        <v>302</v>
      </c>
      <c r="M17" s="154" t="s">
        <v>291</v>
      </c>
    </row>
    <row r="18" spans="2:13" ht="34.5" customHeight="1">
      <c r="B18" s="156">
        <v>13</v>
      </c>
      <c r="C18" s="156" t="s">
        <v>248</v>
      </c>
      <c r="D18" s="1381"/>
      <c r="E18" s="154" t="s">
        <v>279</v>
      </c>
      <c r="F18" s="154">
        <v>2016</v>
      </c>
      <c r="G18" s="154">
        <v>2020</v>
      </c>
      <c r="H18" s="159" t="s">
        <v>598</v>
      </c>
      <c r="I18" s="138">
        <v>0</v>
      </c>
      <c r="J18" s="138">
        <v>0</v>
      </c>
      <c r="K18" s="138">
        <v>0</v>
      </c>
      <c r="L18" s="154" t="s">
        <v>303</v>
      </c>
      <c r="M18" s="154" t="s">
        <v>291</v>
      </c>
    </row>
    <row r="19" spans="2:13" ht="62.25" customHeight="1">
      <c r="B19" s="156">
        <v>14</v>
      </c>
      <c r="C19" s="156" t="s">
        <v>283</v>
      </c>
      <c r="D19" s="1381"/>
      <c r="E19" s="154" t="s">
        <v>279</v>
      </c>
      <c r="F19" s="154">
        <v>2016</v>
      </c>
      <c r="G19" s="154">
        <v>2020</v>
      </c>
      <c r="H19" s="159" t="s">
        <v>598</v>
      </c>
      <c r="I19" s="138">
        <v>0</v>
      </c>
      <c r="J19" s="138">
        <v>0</v>
      </c>
      <c r="K19" s="138">
        <v>0</v>
      </c>
      <c r="L19" s="154" t="s">
        <v>304</v>
      </c>
      <c r="M19" s="154" t="s">
        <v>291</v>
      </c>
    </row>
    <row r="20" spans="2:13" ht="63.75">
      <c r="B20" s="156">
        <v>15</v>
      </c>
      <c r="C20" s="156" t="s">
        <v>284</v>
      </c>
      <c r="D20" s="1381"/>
      <c r="E20" s="154" t="s">
        <v>279</v>
      </c>
      <c r="F20" s="154">
        <v>2016</v>
      </c>
      <c r="G20" s="154">
        <v>2020</v>
      </c>
      <c r="H20" s="648">
        <v>20000</v>
      </c>
      <c r="I20" s="647">
        <f>0.001*'Końcowe zuż. energii_2020'!R21</f>
        <v>50.07030183962079</v>
      </c>
      <c r="J20" s="647">
        <f>0.001*'Emisja CO2_2020'!R21</f>
        <v>12.904340709570718</v>
      </c>
      <c r="K20" s="647">
        <v>0</v>
      </c>
      <c r="L20" s="154" t="s">
        <v>305</v>
      </c>
      <c r="M20" s="154" t="s">
        <v>291</v>
      </c>
    </row>
    <row r="21" spans="2:13" ht="63.75">
      <c r="B21" s="156">
        <v>16</v>
      </c>
      <c r="C21" s="156" t="s">
        <v>249</v>
      </c>
      <c r="D21" s="138" t="s">
        <v>456</v>
      </c>
      <c r="E21" s="154" t="s">
        <v>285</v>
      </c>
      <c r="F21" s="154">
        <v>2016</v>
      </c>
      <c r="G21" s="154">
        <v>2020</v>
      </c>
      <c r="H21" s="648">
        <f>'Działania_zrealizowane '!D39</f>
        <v>840000</v>
      </c>
      <c r="I21" s="647">
        <v>0</v>
      </c>
      <c r="J21" s="647">
        <f>'Działania_zrealizowane '!D37</f>
        <v>97.440000000000012</v>
      </c>
      <c r="K21" s="647">
        <f>'Działania_zrealizowane '!D36</f>
        <v>120</v>
      </c>
      <c r="L21" s="154" t="s">
        <v>298</v>
      </c>
      <c r="M21" s="154" t="s">
        <v>291</v>
      </c>
    </row>
    <row r="22" spans="2:13" ht="63.75">
      <c r="B22" s="156">
        <v>17</v>
      </c>
      <c r="C22" s="651" t="s">
        <v>595</v>
      </c>
      <c r="D22" s="1380" t="str">
        <f>'En. elektryczna_2020'!B18</f>
        <v>Budynki mieszkalne</v>
      </c>
      <c r="E22" s="154" t="s">
        <v>286</v>
      </c>
      <c r="F22" s="154">
        <v>2016</v>
      </c>
      <c r="G22" s="154">
        <v>2020</v>
      </c>
      <c r="H22" s="159" t="s">
        <v>591</v>
      </c>
      <c r="I22" s="138">
        <v>0</v>
      </c>
      <c r="J22" s="138">
        <v>29.23</v>
      </c>
      <c r="K22" s="138">
        <v>36</v>
      </c>
      <c r="L22" s="154" t="s">
        <v>298</v>
      </c>
      <c r="M22" s="154" t="s">
        <v>291</v>
      </c>
    </row>
    <row r="23" spans="2:13" ht="63.75">
      <c r="B23" s="156">
        <v>18</v>
      </c>
      <c r="C23" s="156" t="s">
        <v>255</v>
      </c>
      <c r="D23" s="1381"/>
      <c r="E23" s="154" t="s">
        <v>286</v>
      </c>
      <c r="F23" s="154">
        <v>2016</v>
      </c>
      <c r="G23" s="154">
        <v>2020</v>
      </c>
      <c r="H23" s="159" t="s">
        <v>598</v>
      </c>
      <c r="I23" s="138">
        <v>0</v>
      </c>
      <c r="J23" s="138">
        <v>0</v>
      </c>
      <c r="K23" s="138">
        <v>0</v>
      </c>
      <c r="L23" s="154" t="s">
        <v>298</v>
      </c>
      <c r="M23" s="154" t="s">
        <v>291</v>
      </c>
    </row>
    <row r="24" spans="2:13" ht="63.75">
      <c r="B24" s="156">
        <v>19</v>
      </c>
      <c r="C24" s="156" t="s">
        <v>256</v>
      </c>
      <c r="D24" s="1381"/>
      <c r="E24" s="154" t="s">
        <v>286</v>
      </c>
      <c r="F24" s="154">
        <v>2016</v>
      </c>
      <c r="G24" s="154">
        <v>2020</v>
      </c>
      <c r="H24" s="159" t="s">
        <v>598</v>
      </c>
      <c r="I24" s="138">
        <v>0</v>
      </c>
      <c r="J24" s="138">
        <v>0</v>
      </c>
      <c r="K24" s="138">
        <v>0</v>
      </c>
      <c r="L24" s="154" t="s">
        <v>298</v>
      </c>
      <c r="M24" s="154" t="s">
        <v>291</v>
      </c>
    </row>
    <row r="25" spans="2:13" ht="76.5">
      <c r="B25" s="156">
        <v>20</v>
      </c>
      <c r="C25" s="156" t="s">
        <v>601</v>
      </c>
      <c r="D25" s="1381"/>
      <c r="E25" s="154" t="s">
        <v>286</v>
      </c>
      <c r="F25" s="154">
        <v>2016</v>
      </c>
      <c r="G25" s="154">
        <v>2020</v>
      </c>
      <c r="H25" s="159" t="s">
        <v>598</v>
      </c>
      <c r="I25" s="657">
        <v>54.861946082817454</v>
      </c>
      <c r="J25" s="657">
        <v>18.761993330055223</v>
      </c>
      <c r="K25" s="657">
        <v>0</v>
      </c>
      <c r="L25" s="154" t="s">
        <v>297</v>
      </c>
      <c r="M25" s="154" t="s">
        <v>291</v>
      </c>
    </row>
    <row r="26" spans="2:13" ht="25.5">
      <c r="B26" s="156">
        <v>21</v>
      </c>
      <c r="C26" s="654" t="s">
        <v>393</v>
      </c>
      <c r="D26" s="1381"/>
      <c r="E26" s="154" t="s">
        <v>286</v>
      </c>
      <c r="F26" s="154">
        <v>2016</v>
      </c>
      <c r="G26" s="154">
        <v>2020</v>
      </c>
      <c r="H26" s="159">
        <f>'Działania_zrealizowane '!D68</f>
        <v>424000</v>
      </c>
      <c r="I26" s="138">
        <v>0</v>
      </c>
      <c r="J26" s="138">
        <f>'Działania_zrealizowane '!D66</f>
        <v>248.91230174585874</v>
      </c>
      <c r="K26" s="138">
        <v>0</v>
      </c>
      <c r="L26" s="154" t="s">
        <v>306</v>
      </c>
      <c r="M26" s="154" t="s">
        <v>292</v>
      </c>
    </row>
    <row r="27" spans="2:13" ht="15">
      <c r="C27" s="133" t="s">
        <v>251</v>
      </c>
      <c r="H27" s="162">
        <f>SUM(H8:H26)</f>
        <v>25284000</v>
      </c>
      <c r="I27" s="163">
        <f>I9+I12+I14+I24+I25+I26</f>
        <v>735.02511608281748</v>
      </c>
      <c r="J27" s="163">
        <f>J9+J12+J14+J22+J23+J24+J25+J26</f>
        <v>469.48052127591393</v>
      </c>
      <c r="K27" s="163">
        <f>K14+K22+K23+K24</f>
        <v>143.45384000000001</v>
      </c>
      <c r="L27" s="149"/>
      <c r="M27" s="154"/>
    </row>
    <row r="28" spans="2:13">
      <c r="J28" s="279"/>
    </row>
  </sheetData>
  <mergeCells count="17">
    <mergeCell ref="B3:K3"/>
    <mergeCell ref="O3:Q3"/>
    <mergeCell ref="B4:B5"/>
    <mergeCell ref="C4:C5"/>
    <mergeCell ref="D4:D5"/>
    <mergeCell ref="E4:E5"/>
    <mergeCell ref="F4:G4"/>
    <mergeCell ref="H4:H5"/>
    <mergeCell ref="I4:K4"/>
    <mergeCell ref="L4:L5"/>
    <mergeCell ref="D22:D26"/>
    <mergeCell ref="M4:M5"/>
    <mergeCell ref="D6:D8"/>
    <mergeCell ref="D10:D11"/>
    <mergeCell ref="D12:D15"/>
    <mergeCell ref="D16:D20"/>
    <mergeCell ref="F17:G17"/>
  </mergeCells>
  <pageMargins left="0.7" right="0.7" top="0.75" bottom="0.75" header="0.3" footer="0.3"/>
  <pageSetup paperSize="9" scale="52" orientation="landscape" r:id="rId1"/>
  <colBreaks count="1" manualBreakCount="1">
    <brk id="13" max="26" man="1"/>
  </col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2:O60"/>
  <sheetViews>
    <sheetView topLeftCell="A4" workbookViewId="0">
      <selection activeCell="I17" sqref="I17:K18"/>
    </sheetView>
  </sheetViews>
  <sheetFormatPr defaultRowHeight="14.25"/>
  <cols>
    <col min="2" max="2" width="4.25" customWidth="1"/>
    <col min="3" max="3" width="30.25" customWidth="1"/>
    <col min="4" max="4" width="12.625" customWidth="1"/>
    <col min="8" max="8" width="14.375" customWidth="1"/>
    <col min="9" max="9" width="10" bestFit="1" customWidth="1"/>
    <col min="10" max="10" width="9.75" customWidth="1"/>
    <col min="11" max="11" width="9.625" customWidth="1"/>
    <col min="13" max="13" width="9.75" customWidth="1"/>
  </cols>
  <sheetData>
    <row r="2" spans="2:15" ht="15" customHeight="1">
      <c r="B2" s="1392" t="s">
        <v>956</v>
      </c>
      <c r="C2" s="1392"/>
      <c r="D2" s="1392"/>
      <c r="E2" s="1392"/>
      <c r="F2" s="1392"/>
      <c r="G2" s="1392"/>
      <c r="H2" s="1392"/>
      <c r="I2" s="1392"/>
      <c r="J2" s="1392"/>
      <c r="K2" s="1392"/>
      <c r="L2" s="1392"/>
    </row>
    <row r="3" spans="2:15">
      <c r="B3" s="1392" t="s">
        <v>227</v>
      </c>
      <c r="C3" s="1392" t="s">
        <v>228</v>
      </c>
      <c r="D3" s="1392" t="s">
        <v>229</v>
      </c>
      <c r="E3" s="1392" t="s">
        <v>957</v>
      </c>
      <c r="F3" s="1392" t="s">
        <v>230</v>
      </c>
      <c r="G3" s="1392"/>
      <c r="H3" s="1392" t="s">
        <v>958</v>
      </c>
      <c r="I3" s="1392" t="s">
        <v>232</v>
      </c>
      <c r="J3" s="1392"/>
      <c r="K3" s="1392"/>
      <c r="L3" s="974"/>
    </row>
    <row r="4" spans="2:15" ht="38.25">
      <c r="B4" s="1392"/>
      <c r="C4" s="1392"/>
      <c r="D4" s="1392"/>
      <c r="E4" s="1392"/>
      <c r="F4" s="974" t="s">
        <v>233</v>
      </c>
      <c r="G4" s="974" t="s">
        <v>234</v>
      </c>
      <c r="H4" s="1392"/>
      <c r="I4" s="974" t="s">
        <v>235</v>
      </c>
      <c r="J4" s="974" t="s">
        <v>959</v>
      </c>
      <c r="K4" s="974" t="s">
        <v>237</v>
      </c>
      <c r="L4" s="974" t="s">
        <v>982</v>
      </c>
    </row>
    <row r="5" spans="2:15" ht="15" customHeight="1">
      <c r="B5" s="1393" t="s">
        <v>960</v>
      </c>
      <c r="C5" s="1393"/>
      <c r="D5" s="1393"/>
      <c r="E5" s="1393"/>
      <c r="F5" s="1393"/>
      <c r="G5" s="1393"/>
      <c r="H5" s="1393"/>
      <c r="I5" s="1393"/>
      <c r="J5" s="1393"/>
      <c r="K5" s="1393"/>
      <c r="L5" s="1393"/>
    </row>
    <row r="6" spans="2:15" ht="25.5">
      <c r="B6" s="976">
        <v>1</v>
      </c>
      <c r="C6" s="976" t="s">
        <v>238</v>
      </c>
      <c r="D6" s="1395" t="s">
        <v>239</v>
      </c>
      <c r="E6" s="977" t="s">
        <v>961</v>
      </c>
      <c r="F6" s="977">
        <v>2020</v>
      </c>
      <c r="G6" s="977">
        <v>2024</v>
      </c>
      <c r="H6" s="977" t="s">
        <v>90</v>
      </c>
      <c r="I6" s="977" t="s">
        <v>90</v>
      </c>
      <c r="J6" s="977" t="s">
        <v>90</v>
      </c>
      <c r="K6" s="977" t="s">
        <v>90</v>
      </c>
      <c r="L6" s="977">
        <v>100</v>
      </c>
    </row>
    <row r="7" spans="2:15" ht="38.25">
      <c r="B7" s="976">
        <v>2</v>
      </c>
      <c r="C7" s="976" t="s">
        <v>240</v>
      </c>
      <c r="D7" s="1395"/>
      <c r="E7" s="977" t="s">
        <v>961</v>
      </c>
      <c r="F7" s="977">
        <v>2020</v>
      </c>
      <c r="G7" s="977">
        <v>2024</v>
      </c>
      <c r="H7" s="977" t="s">
        <v>90</v>
      </c>
      <c r="I7" s="977" t="s">
        <v>90</v>
      </c>
      <c r="J7" s="977" t="s">
        <v>90</v>
      </c>
      <c r="K7" s="977" t="s">
        <v>90</v>
      </c>
      <c r="L7" s="977">
        <v>100</v>
      </c>
    </row>
    <row r="8" spans="2:15" ht="76.5">
      <c r="B8" s="976">
        <v>3</v>
      </c>
      <c r="C8" s="976" t="s">
        <v>962</v>
      </c>
      <c r="D8" s="1395"/>
      <c r="E8" s="977" t="s">
        <v>961</v>
      </c>
      <c r="F8" s="977">
        <v>2020</v>
      </c>
      <c r="G8" s="977">
        <v>2024</v>
      </c>
      <c r="H8" s="1017">
        <v>100000</v>
      </c>
      <c r="I8" s="977" t="s">
        <v>90</v>
      </c>
      <c r="J8" s="977" t="s">
        <v>90</v>
      </c>
      <c r="K8" s="977" t="s">
        <v>90</v>
      </c>
      <c r="L8" s="977">
        <v>100</v>
      </c>
    </row>
    <row r="9" spans="2:15" ht="15" customHeight="1">
      <c r="B9" s="1393" t="s">
        <v>963</v>
      </c>
      <c r="C9" s="1393"/>
      <c r="D9" s="1393"/>
      <c r="E9" s="1393"/>
      <c r="F9" s="1393"/>
      <c r="G9" s="1393"/>
      <c r="H9" s="1393"/>
      <c r="I9" s="1393"/>
      <c r="J9" s="1393"/>
      <c r="K9" s="1393"/>
      <c r="L9" s="1393"/>
    </row>
    <row r="10" spans="2:15" ht="38.25">
      <c r="B10" s="976">
        <v>4</v>
      </c>
      <c r="C10" s="976" t="s">
        <v>242</v>
      </c>
      <c r="D10" s="977" t="s">
        <v>964</v>
      </c>
      <c r="E10" s="977" t="s">
        <v>961</v>
      </c>
      <c r="F10" s="977">
        <v>2020</v>
      </c>
      <c r="G10" s="977">
        <v>2024</v>
      </c>
      <c r="H10" s="1017">
        <v>686000</v>
      </c>
      <c r="I10" s="977">
        <v>96.15</v>
      </c>
      <c r="J10" s="977">
        <v>78.069999999999993</v>
      </c>
      <c r="K10" s="977">
        <v>0</v>
      </c>
      <c r="L10" s="977">
        <v>100</v>
      </c>
    </row>
    <row r="11" spans="2:15" ht="51">
      <c r="B11" s="981" t="s">
        <v>990</v>
      </c>
      <c r="C11" s="981" t="s">
        <v>991</v>
      </c>
      <c r="D11" s="982" t="s">
        <v>964</v>
      </c>
      <c r="E11" s="982" t="s">
        <v>961</v>
      </c>
      <c r="F11" s="982">
        <v>2020</v>
      </c>
      <c r="G11" s="982">
        <v>2023</v>
      </c>
      <c r="H11" s="1018">
        <f>4039647.7-H10</f>
        <v>3353647.7</v>
      </c>
      <c r="I11" s="982">
        <v>438.93</v>
      </c>
      <c r="J11" s="982">
        <v>356.41</v>
      </c>
      <c r="K11" s="982">
        <v>0</v>
      </c>
      <c r="L11" s="982">
        <v>100</v>
      </c>
    </row>
    <row r="12" spans="2:15" ht="15" customHeight="1">
      <c r="B12" s="1393" t="s">
        <v>965</v>
      </c>
      <c r="C12" s="1393"/>
      <c r="D12" s="1393"/>
      <c r="E12" s="1393"/>
      <c r="F12" s="1393"/>
      <c r="G12" s="1393"/>
      <c r="H12" s="1393"/>
      <c r="I12" s="1393"/>
      <c r="J12" s="1393"/>
      <c r="K12" s="1393"/>
      <c r="L12" s="1393"/>
    </row>
    <row r="13" spans="2:15" ht="51">
      <c r="B13" s="975">
        <v>5</v>
      </c>
      <c r="C13" s="976" t="s">
        <v>984</v>
      </c>
      <c r="D13" s="1395"/>
      <c r="E13" s="977" t="s">
        <v>966</v>
      </c>
      <c r="F13" s="977">
        <v>2020</v>
      </c>
      <c r="G13" s="977">
        <v>2024</v>
      </c>
      <c r="H13" s="978">
        <v>650000</v>
      </c>
      <c r="I13" s="977">
        <f>25.9/2</f>
        <v>12.95</v>
      </c>
      <c r="J13" s="977">
        <f>5.22/2</f>
        <v>2.61</v>
      </c>
      <c r="K13" s="979">
        <v>0</v>
      </c>
      <c r="L13" s="1452">
        <v>50</v>
      </c>
    </row>
    <row r="14" spans="2:15" ht="25.5">
      <c r="B14" s="976">
        <v>6</v>
      </c>
      <c r="C14" s="976" t="s">
        <v>596</v>
      </c>
      <c r="D14" s="1395"/>
      <c r="E14" s="977" t="s">
        <v>966</v>
      </c>
      <c r="F14" s="977">
        <v>2020</v>
      </c>
      <c r="G14" s="977">
        <v>2024</v>
      </c>
      <c r="H14" s="978">
        <v>3000000</v>
      </c>
      <c r="I14" s="977">
        <v>119.94</v>
      </c>
      <c r="J14" s="977">
        <v>24.17</v>
      </c>
      <c r="K14" s="977">
        <v>0</v>
      </c>
      <c r="L14" s="1452">
        <v>0</v>
      </c>
    </row>
    <row r="15" spans="2:15" ht="25.5">
      <c r="B15" s="976">
        <v>7</v>
      </c>
      <c r="C15" s="976" t="s">
        <v>967</v>
      </c>
      <c r="D15" s="1395"/>
      <c r="E15" s="977" t="s">
        <v>966</v>
      </c>
      <c r="F15" s="977">
        <v>2020</v>
      </c>
      <c r="G15" s="977">
        <v>2024</v>
      </c>
      <c r="H15" s="978">
        <v>2500000</v>
      </c>
      <c r="I15" s="1013">
        <f>97.54*N15</f>
        <v>27.073212934320004</v>
      </c>
      <c r="J15" s="1013">
        <f>19.6*N15</f>
        <v>5.4401781168000012</v>
      </c>
      <c r="K15" s="977">
        <v>0</v>
      </c>
      <c r="L15" s="1453">
        <v>30</v>
      </c>
      <c r="M15" s="1011">
        <v>693900.27</v>
      </c>
      <c r="N15" s="1012">
        <f>M15/H15</f>
        <v>0.27756010800000003</v>
      </c>
      <c r="O15" s="1012">
        <f>1-(M15/H15)</f>
        <v>0.72243989199999992</v>
      </c>
    </row>
    <row r="16" spans="2:15" ht="76.5">
      <c r="B16" s="976">
        <v>8</v>
      </c>
      <c r="C16" s="976" t="s">
        <v>968</v>
      </c>
      <c r="D16" s="1395"/>
      <c r="E16" s="977" t="s">
        <v>966</v>
      </c>
      <c r="F16" s="977">
        <v>2016</v>
      </c>
      <c r="G16" s="977">
        <v>2020</v>
      </c>
      <c r="H16" s="978">
        <v>560000</v>
      </c>
      <c r="I16" s="977">
        <v>287.20999999999998</v>
      </c>
      <c r="J16" s="977">
        <v>233.22</v>
      </c>
      <c r="K16" s="977">
        <v>104.95</v>
      </c>
      <c r="L16" s="1452">
        <v>0</v>
      </c>
    </row>
    <row r="17" spans="2:12" ht="25.5">
      <c r="B17" s="976">
        <v>9</v>
      </c>
      <c r="C17" s="976" t="s">
        <v>244</v>
      </c>
      <c r="D17" s="1395"/>
      <c r="E17" s="977" t="s">
        <v>969</v>
      </c>
      <c r="F17" s="977">
        <v>2016</v>
      </c>
      <c r="G17" s="977">
        <v>2024</v>
      </c>
      <c r="H17" s="978">
        <v>2500000</v>
      </c>
      <c r="I17" s="977">
        <v>84.72</v>
      </c>
      <c r="J17" s="977">
        <v>17.07</v>
      </c>
      <c r="K17" s="977">
        <v>33.89</v>
      </c>
      <c r="L17" s="977">
        <v>0</v>
      </c>
    </row>
    <row r="18" spans="2:12" ht="25.5">
      <c r="B18" s="976">
        <v>10</v>
      </c>
      <c r="C18" s="976" t="s">
        <v>260</v>
      </c>
      <c r="D18" s="1395"/>
      <c r="E18" s="977" t="s">
        <v>969</v>
      </c>
      <c r="F18" s="977">
        <v>2016</v>
      </c>
      <c r="G18" s="977">
        <v>2020</v>
      </c>
      <c r="H18" s="978">
        <v>1500000</v>
      </c>
      <c r="I18" s="977">
        <v>558.70000000000005</v>
      </c>
      <c r="J18" s="977">
        <v>112.59</v>
      </c>
      <c r="K18" s="977">
        <v>111.74</v>
      </c>
      <c r="L18" s="977">
        <v>0</v>
      </c>
    </row>
    <row r="19" spans="2:12" ht="51">
      <c r="B19" s="976">
        <v>11</v>
      </c>
      <c r="C19" s="976" t="s">
        <v>245</v>
      </c>
      <c r="D19" s="1395"/>
      <c r="E19" s="977" t="s">
        <v>969</v>
      </c>
      <c r="F19" s="977">
        <v>2016</v>
      </c>
      <c r="G19" s="977">
        <v>2024</v>
      </c>
      <c r="H19" s="978">
        <v>17500000</v>
      </c>
      <c r="I19" s="977">
        <v>289.3</v>
      </c>
      <c r="J19" s="977">
        <v>58.3</v>
      </c>
      <c r="K19" s="977">
        <v>57.86</v>
      </c>
      <c r="L19" s="977">
        <v>100</v>
      </c>
    </row>
    <row r="20" spans="2:12" ht="25.5">
      <c r="B20" s="976">
        <v>12</v>
      </c>
      <c r="C20" s="976" t="s">
        <v>261</v>
      </c>
      <c r="D20" s="1395"/>
      <c r="E20" s="977" t="s">
        <v>969</v>
      </c>
      <c r="F20" s="977">
        <v>2016</v>
      </c>
      <c r="G20" s="977">
        <v>2020</v>
      </c>
      <c r="H20" s="978">
        <v>24000000</v>
      </c>
      <c r="I20" s="977">
        <v>1153.23</v>
      </c>
      <c r="J20" s="977">
        <v>936.43</v>
      </c>
      <c r="K20" s="977">
        <v>332.34</v>
      </c>
      <c r="L20" s="977">
        <v>100</v>
      </c>
    </row>
    <row r="21" spans="2:12" ht="25.5">
      <c r="B21" s="981">
        <v>13</v>
      </c>
      <c r="C21" s="981" t="s">
        <v>992</v>
      </c>
      <c r="D21" s="982"/>
      <c r="E21" s="982" t="s">
        <v>969</v>
      </c>
      <c r="F21" s="982">
        <v>2020</v>
      </c>
      <c r="G21" s="982">
        <v>2020</v>
      </c>
      <c r="H21" s="983">
        <v>5899857.71</v>
      </c>
      <c r="I21" s="984">
        <v>285</v>
      </c>
      <c r="J21" s="984">
        <v>92</v>
      </c>
      <c r="K21" s="984">
        <v>0</v>
      </c>
      <c r="L21" s="982">
        <v>100</v>
      </c>
    </row>
    <row r="22" spans="2:12">
      <c r="B22" s="981">
        <v>14</v>
      </c>
      <c r="C22" s="981" t="s">
        <v>993</v>
      </c>
      <c r="D22" s="982"/>
      <c r="E22" s="982" t="s">
        <v>961</v>
      </c>
      <c r="F22" s="982">
        <v>2020</v>
      </c>
      <c r="G22" s="982">
        <v>2020</v>
      </c>
      <c r="H22" s="983">
        <v>385811.09</v>
      </c>
      <c r="I22" s="982">
        <v>76.91</v>
      </c>
      <c r="J22" s="982">
        <v>6.38</v>
      </c>
      <c r="K22" s="984">
        <v>0</v>
      </c>
      <c r="L22" s="982">
        <v>100</v>
      </c>
    </row>
    <row r="23" spans="2:12">
      <c r="B23" s="981">
        <v>15</v>
      </c>
      <c r="C23" s="981" t="s">
        <v>994</v>
      </c>
      <c r="D23" s="982"/>
      <c r="E23" s="982" t="s">
        <v>961</v>
      </c>
      <c r="F23" s="982">
        <v>2021</v>
      </c>
      <c r="G23" s="982">
        <v>2021</v>
      </c>
      <c r="H23" s="983">
        <v>3090733.4</v>
      </c>
      <c r="I23" s="982">
        <v>307.64</v>
      </c>
      <c r="J23" s="982">
        <v>25.53</v>
      </c>
      <c r="K23" s="984">
        <v>0</v>
      </c>
      <c r="L23" s="982">
        <v>100</v>
      </c>
    </row>
    <row r="24" spans="2:12" ht="25.5">
      <c r="B24" s="981">
        <v>16</v>
      </c>
      <c r="C24" s="985" t="s">
        <v>995</v>
      </c>
      <c r="D24" s="982"/>
      <c r="E24" s="982" t="s">
        <v>961</v>
      </c>
      <c r="F24" s="982">
        <v>2021</v>
      </c>
      <c r="G24" s="982">
        <v>2021</v>
      </c>
      <c r="H24" s="983">
        <v>7199307.3099999996</v>
      </c>
      <c r="I24" s="1454">
        <f>83.37-K24</f>
        <v>26.370000000000005</v>
      </c>
      <c r="J24" s="982">
        <v>6.78</v>
      </c>
      <c r="K24" s="1454">
        <v>57</v>
      </c>
      <c r="L24" s="982">
        <v>100</v>
      </c>
    </row>
    <row r="25" spans="2:12" ht="25.5">
      <c r="B25" s="981">
        <v>17</v>
      </c>
      <c r="C25" s="985" t="s">
        <v>996</v>
      </c>
      <c r="D25" s="982"/>
      <c r="E25" s="982" t="s">
        <v>961</v>
      </c>
      <c r="F25" s="982">
        <v>2021</v>
      </c>
      <c r="G25" s="982">
        <v>2021</v>
      </c>
      <c r="H25" s="983">
        <v>3038003.1</v>
      </c>
      <c r="I25" s="982">
        <v>307.64</v>
      </c>
      <c r="J25" s="982">
        <v>25.53</v>
      </c>
      <c r="K25" s="984">
        <v>0</v>
      </c>
      <c r="L25" s="982">
        <v>100</v>
      </c>
    </row>
    <row r="26" spans="2:12" ht="25.5">
      <c r="B26" s="981">
        <v>18</v>
      </c>
      <c r="C26" s="985" t="s">
        <v>997</v>
      </c>
      <c r="D26" s="982"/>
      <c r="E26" s="982" t="s">
        <v>961</v>
      </c>
      <c r="F26" s="982">
        <v>2021</v>
      </c>
      <c r="G26" s="982">
        <v>2023</v>
      </c>
      <c r="H26" s="983">
        <v>7375603.1100000003</v>
      </c>
      <c r="I26" s="982">
        <v>410.19</v>
      </c>
      <c r="J26" s="982">
        <v>102.14</v>
      </c>
      <c r="K26" s="984">
        <v>55.97</v>
      </c>
      <c r="L26" s="982">
        <v>100</v>
      </c>
    </row>
    <row r="27" spans="2:12">
      <c r="B27" s="981">
        <v>19</v>
      </c>
      <c r="C27" s="985" t="s">
        <v>1000</v>
      </c>
      <c r="D27" s="982"/>
      <c r="E27" s="982" t="s">
        <v>961</v>
      </c>
      <c r="F27" s="982">
        <v>2020</v>
      </c>
      <c r="G27" s="982">
        <v>2024</v>
      </c>
      <c r="H27" s="983">
        <v>330000</v>
      </c>
      <c r="I27" s="982">
        <v>102.55</v>
      </c>
      <c r="J27" s="982">
        <v>25.53</v>
      </c>
      <c r="K27" s="984">
        <v>0</v>
      </c>
      <c r="L27" s="982">
        <v>100</v>
      </c>
    </row>
    <row r="28" spans="2:12" ht="25.5">
      <c r="B28" s="981">
        <v>20</v>
      </c>
      <c r="C28" s="985" t="s">
        <v>1001</v>
      </c>
      <c r="D28" s="982"/>
      <c r="E28" s="982" t="s">
        <v>961</v>
      </c>
      <c r="F28" s="982">
        <v>2023</v>
      </c>
      <c r="G28" s="982">
        <v>2023</v>
      </c>
      <c r="H28" s="983">
        <v>149937</v>
      </c>
      <c r="I28" s="982">
        <v>51.27</v>
      </c>
      <c r="J28" s="982">
        <v>12.77</v>
      </c>
      <c r="K28" s="984">
        <v>0</v>
      </c>
      <c r="L28" s="982">
        <v>100</v>
      </c>
    </row>
    <row r="29" spans="2:12" ht="15" customHeight="1">
      <c r="B29" s="1394" t="s">
        <v>970</v>
      </c>
      <c r="C29" s="1394"/>
      <c r="D29" s="1394"/>
      <c r="E29" s="1394"/>
      <c r="F29" s="1394"/>
      <c r="G29" s="1394"/>
      <c r="H29" s="1394"/>
      <c r="I29" s="1394"/>
      <c r="J29" s="1394"/>
      <c r="K29" s="1394"/>
      <c r="L29" s="1394"/>
    </row>
    <row r="30" spans="2:12" ht="25.5">
      <c r="B30" s="976">
        <v>21</v>
      </c>
      <c r="C30" s="976" t="s">
        <v>246</v>
      </c>
      <c r="D30" s="1395" t="s">
        <v>971</v>
      </c>
      <c r="E30" s="977" t="s">
        <v>961</v>
      </c>
      <c r="F30" s="977">
        <v>2016</v>
      </c>
      <c r="G30" s="977">
        <v>2024</v>
      </c>
      <c r="H30" s="978">
        <v>300000</v>
      </c>
      <c r="I30" s="977">
        <v>48.07</v>
      </c>
      <c r="J30" s="977">
        <v>12.03</v>
      </c>
      <c r="K30" s="977">
        <v>0</v>
      </c>
      <c r="L30" s="1452">
        <v>0</v>
      </c>
    </row>
    <row r="31" spans="2:12">
      <c r="B31" s="976">
        <v>22</v>
      </c>
      <c r="C31" s="976" t="s">
        <v>247</v>
      </c>
      <c r="D31" s="1395"/>
      <c r="E31" s="977" t="s">
        <v>966</v>
      </c>
      <c r="F31" s="977">
        <v>2016</v>
      </c>
      <c r="G31" s="977">
        <v>2024</v>
      </c>
      <c r="H31" s="977">
        <v>32000</v>
      </c>
      <c r="I31" s="977" t="s">
        <v>90</v>
      </c>
      <c r="J31" s="977">
        <v>3.25</v>
      </c>
      <c r="K31" s="977">
        <v>4</v>
      </c>
      <c r="L31" s="1452">
        <v>0</v>
      </c>
    </row>
    <row r="32" spans="2:12" ht="25.5">
      <c r="B32" s="1007">
        <v>23</v>
      </c>
      <c r="C32" s="976" t="s">
        <v>248</v>
      </c>
      <c r="D32" s="1395"/>
      <c r="E32" s="977" t="s">
        <v>966</v>
      </c>
      <c r="F32" s="977">
        <v>2016</v>
      </c>
      <c r="G32" s="977">
        <v>2024</v>
      </c>
      <c r="H32" s="978">
        <v>5000000</v>
      </c>
      <c r="I32" s="977">
        <v>146.81</v>
      </c>
      <c r="J32" s="977">
        <v>36.729999999999997</v>
      </c>
      <c r="K32" s="977">
        <v>0</v>
      </c>
      <c r="L32" s="1452">
        <v>0</v>
      </c>
    </row>
    <row r="33" spans="1:13" ht="38.25">
      <c r="B33" s="1007">
        <v>24</v>
      </c>
      <c r="C33" s="976" t="s">
        <v>972</v>
      </c>
      <c r="D33" s="1395"/>
      <c r="E33" s="977" t="s">
        <v>973</v>
      </c>
      <c r="F33" s="977">
        <v>2016</v>
      </c>
      <c r="G33" s="977">
        <v>2024</v>
      </c>
      <c r="H33" s="978">
        <v>30000</v>
      </c>
      <c r="I33" s="977">
        <v>250.35</v>
      </c>
      <c r="J33" s="977">
        <v>64.52</v>
      </c>
      <c r="K33" s="977">
        <v>0</v>
      </c>
      <c r="L33" s="1452">
        <v>0</v>
      </c>
    </row>
    <row r="34" spans="1:13" ht="25.5">
      <c r="B34" s="1007">
        <v>25</v>
      </c>
      <c r="C34" s="976" t="s">
        <v>983</v>
      </c>
      <c r="D34" s="1395"/>
      <c r="E34" s="977" t="s">
        <v>961</v>
      </c>
      <c r="F34" s="977">
        <v>2016</v>
      </c>
      <c r="G34" s="977">
        <v>2024</v>
      </c>
      <c r="H34" s="978">
        <v>20000</v>
      </c>
      <c r="I34" s="977">
        <v>50.07</v>
      </c>
      <c r="J34" s="977">
        <v>12.9</v>
      </c>
      <c r="K34" s="977">
        <v>0</v>
      </c>
      <c r="L34" s="977">
        <v>100</v>
      </c>
    </row>
    <row r="35" spans="1:13" ht="25.5">
      <c r="B35" s="981" t="s">
        <v>985</v>
      </c>
      <c r="C35" s="981" t="s">
        <v>986</v>
      </c>
      <c r="D35" s="982"/>
      <c r="E35" s="982" t="s">
        <v>961</v>
      </c>
      <c r="F35" s="982">
        <v>2020</v>
      </c>
      <c r="G35" s="982">
        <v>2024</v>
      </c>
      <c r="H35" s="983">
        <v>20254022.780000001</v>
      </c>
      <c r="I35" s="982">
        <v>3990</v>
      </c>
      <c r="J35" s="982">
        <v>995</v>
      </c>
      <c r="K35" s="982">
        <v>0</v>
      </c>
      <c r="L35" s="982">
        <v>100</v>
      </c>
    </row>
    <row r="36" spans="1:13" ht="25.5">
      <c r="B36" s="981" t="s">
        <v>998</v>
      </c>
      <c r="C36" s="981" t="s">
        <v>999</v>
      </c>
      <c r="D36" s="982"/>
      <c r="E36" s="982" t="s">
        <v>961</v>
      </c>
      <c r="F36" s="982">
        <v>2021</v>
      </c>
      <c r="G36" s="982">
        <v>2023</v>
      </c>
      <c r="H36" s="983">
        <v>4599041</v>
      </c>
      <c r="I36" s="982">
        <v>725.73</v>
      </c>
      <c r="J36" s="982">
        <v>180.71</v>
      </c>
      <c r="K36" s="982">
        <v>0</v>
      </c>
      <c r="L36" s="982">
        <v>100</v>
      </c>
    </row>
    <row r="37" spans="1:13" ht="15" customHeight="1">
      <c r="B37" s="1394" t="s">
        <v>974</v>
      </c>
      <c r="C37" s="1394"/>
      <c r="D37" s="1394"/>
      <c r="E37" s="1394"/>
      <c r="F37" s="1394"/>
      <c r="G37" s="1394"/>
      <c r="H37" s="1394"/>
      <c r="I37" s="1394"/>
      <c r="J37" s="1394"/>
      <c r="K37" s="1394"/>
      <c r="L37" s="1394"/>
    </row>
    <row r="38" spans="1:13" ht="25.5">
      <c r="A38" s="1396"/>
      <c r="B38" s="976">
        <v>18</v>
      </c>
      <c r="C38" s="976" t="s">
        <v>249</v>
      </c>
      <c r="D38" s="977" t="s">
        <v>975</v>
      </c>
      <c r="E38" s="977" t="s">
        <v>961</v>
      </c>
      <c r="F38" s="977">
        <v>2016</v>
      </c>
      <c r="G38" s="977">
        <v>2024</v>
      </c>
      <c r="H38" s="978">
        <v>840000</v>
      </c>
      <c r="I38" s="977">
        <v>0</v>
      </c>
      <c r="J38" s="977">
        <v>97.44</v>
      </c>
      <c r="K38" s="977">
        <v>120</v>
      </c>
      <c r="L38" s="977">
        <v>100</v>
      </c>
    </row>
    <row r="39" spans="1:13" ht="15" customHeight="1">
      <c r="A39" s="1396"/>
      <c r="B39" s="1394" t="s">
        <v>976</v>
      </c>
      <c r="C39" s="1394"/>
      <c r="D39" s="1394"/>
      <c r="E39" s="1394"/>
      <c r="F39" s="1394"/>
      <c r="G39" s="1394"/>
      <c r="H39" s="1394"/>
      <c r="I39" s="1394"/>
      <c r="J39" s="1394"/>
      <c r="K39" s="1394"/>
      <c r="L39" s="1394"/>
    </row>
    <row r="40" spans="1:13" ht="25.5">
      <c r="A40" s="1396"/>
      <c r="B40" s="976">
        <v>19</v>
      </c>
      <c r="C40" s="976" t="s">
        <v>254</v>
      </c>
      <c r="D40" s="1395" t="s">
        <v>977</v>
      </c>
      <c r="E40" s="977" t="s">
        <v>961</v>
      </c>
      <c r="F40" s="977">
        <v>2020</v>
      </c>
      <c r="G40" s="977">
        <v>2024</v>
      </c>
      <c r="H40" s="978">
        <v>1280000</v>
      </c>
      <c r="I40" s="977">
        <v>0</v>
      </c>
      <c r="J40" s="977">
        <v>129.91999999999999</v>
      </c>
      <c r="K40" s="977">
        <v>160</v>
      </c>
      <c r="L40" s="977">
        <v>100</v>
      </c>
    </row>
    <row r="41" spans="1:13" ht="38.25">
      <c r="A41" s="1396"/>
      <c r="B41" s="976">
        <v>20</v>
      </c>
      <c r="C41" s="976" t="s">
        <v>255</v>
      </c>
      <c r="D41" s="1395"/>
      <c r="E41" s="977" t="s">
        <v>961</v>
      </c>
      <c r="F41" s="977">
        <v>2020</v>
      </c>
      <c r="G41" s="977">
        <v>2024</v>
      </c>
      <c r="H41" s="978">
        <v>700000</v>
      </c>
      <c r="I41" s="977">
        <v>0</v>
      </c>
      <c r="J41" s="977">
        <v>84.22</v>
      </c>
      <c r="K41" s="977">
        <v>238.05</v>
      </c>
      <c r="L41" s="977">
        <v>100</v>
      </c>
    </row>
    <row r="42" spans="1:13" ht="25.5">
      <c r="A42" s="1396"/>
      <c r="B42" s="976">
        <v>21</v>
      </c>
      <c r="C42" s="976" t="s">
        <v>256</v>
      </c>
      <c r="D42" s="1395"/>
      <c r="E42" s="977" t="s">
        <v>961</v>
      </c>
      <c r="F42" s="977">
        <v>2020</v>
      </c>
      <c r="G42" s="977">
        <v>2024</v>
      </c>
      <c r="H42" s="978">
        <v>229320</v>
      </c>
      <c r="I42" s="977">
        <v>56.48</v>
      </c>
      <c r="J42" s="977">
        <v>45.86</v>
      </c>
      <c r="K42" s="977">
        <v>112.95</v>
      </c>
      <c r="L42" s="977">
        <v>100</v>
      </c>
    </row>
    <row r="43" spans="1:13" ht="38.25">
      <c r="A43" s="1396"/>
      <c r="B43" s="976">
        <v>22</v>
      </c>
      <c r="C43" s="976" t="s">
        <v>250</v>
      </c>
      <c r="D43" s="1395"/>
      <c r="E43" s="977" t="s">
        <v>961</v>
      </c>
      <c r="F43" s="977">
        <v>2020</v>
      </c>
      <c r="G43" s="977">
        <v>2024</v>
      </c>
      <c r="H43" s="978">
        <v>2500000</v>
      </c>
      <c r="I43" s="977">
        <v>136.94999999999999</v>
      </c>
      <c r="J43" s="977">
        <v>46.84</v>
      </c>
      <c r="K43" s="977">
        <v>0</v>
      </c>
      <c r="L43" s="977">
        <v>100</v>
      </c>
    </row>
    <row r="44" spans="1:13" ht="63.75">
      <c r="B44" s="976">
        <v>23</v>
      </c>
      <c r="C44" s="976" t="s">
        <v>978</v>
      </c>
      <c r="D44" s="1395"/>
      <c r="E44" s="977" t="s">
        <v>961</v>
      </c>
      <c r="F44" s="977">
        <v>2020</v>
      </c>
      <c r="G44" s="977">
        <v>2024</v>
      </c>
      <c r="H44" s="978">
        <f>4958387.57+330000</f>
        <v>5288387.57</v>
      </c>
      <c r="I44" s="977">
        <v>2297.75</v>
      </c>
      <c r="J44" s="977">
        <v>1771.98</v>
      </c>
      <c r="K44" s="977">
        <v>0</v>
      </c>
      <c r="L44" s="977">
        <v>100</v>
      </c>
    </row>
    <row r="45" spans="1:13" ht="15" customHeight="1">
      <c r="B45" s="1394" t="s">
        <v>979</v>
      </c>
      <c r="C45" s="1394"/>
      <c r="D45" s="1394"/>
      <c r="E45" s="1394"/>
      <c r="F45" s="1394"/>
      <c r="G45" s="1394"/>
      <c r="H45" s="1394"/>
      <c r="I45" s="1394"/>
      <c r="J45" s="1394"/>
      <c r="K45" s="1394"/>
      <c r="L45" s="1394"/>
    </row>
    <row r="46" spans="1:13" ht="25.5">
      <c r="A46" s="1396"/>
      <c r="B46" s="976">
        <v>24</v>
      </c>
      <c r="C46" s="976" t="s">
        <v>623</v>
      </c>
      <c r="D46" s="1395" t="s">
        <v>980</v>
      </c>
      <c r="E46" s="977" t="s">
        <v>969</v>
      </c>
      <c r="F46" s="977">
        <v>2023</v>
      </c>
      <c r="G46" s="977">
        <v>2023</v>
      </c>
      <c r="H46" s="1017">
        <v>3000000</v>
      </c>
      <c r="I46" s="977">
        <v>156.85</v>
      </c>
      <c r="J46" s="977">
        <v>31.24</v>
      </c>
      <c r="K46" s="977">
        <v>0</v>
      </c>
      <c r="L46" s="977">
        <v>100</v>
      </c>
      <c r="M46" t="s">
        <v>1017</v>
      </c>
    </row>
    <row r="47" spans="1:13" ht="25.5">
      <c r="A47" s="1396"/>
      <c r="B47" s="976">
        <v>25</v>
      </c>
      <c r="C47" s="976" t="s">
        <v>624</v>
      </c>
      <c r="D47" s="1395"/>
      <c r="E47" s="977" t="s">
        <v>969</v>
      </c>
      <c r="F47" s="977">
        <v>2019</v>
      </c>
      <c r="G47" s="977">
        <v>2023</v>
      </c>
      <c r="H47" s="1017">
        <v>4500000</v>
      </c>
      <c r="I47" s="977">
        <v>86.6</v>
      </c>
      <c r="J47" s="977">
        <v>17.25</v>
      </c>
      <c r="K47" s="977">
        <v>0</v>
      </c>
      <c r="L47" s="977">
        <v>100</v>
      </c>
      <c r="M47" t="s">
        <v>1017</v>
      </c>
    </row>
    <row r="48" spans="1:13">
      <c r="B48" s="976"/>
      <c r="C48" s="976" t="s">
        <v>981</v>
      </c>
      <c r="D48" s="976" t="s">
        <v>792</v>
      </c>
      <c r="E48" s="976" t="s">
        <v>792</v>
      </c>
      <c r="F48" s="977" t="s">
        <v>792</v>
      </c>
      <c r="G48" s="977" t="s">
        <v>792</v>
      </c>
      <c r="H48" s="980">
        <f>SUM(H6:H8)+SUM(H10:H11)+SUM(H13:H28)+SUM(H30:H36)+H38+SUM(H40:H44)+SUM(H46:H47)</f>
        <v>132391671.77000001</v>
      </c>
      <c r="I48" s="980">
        <f>SUM(I6:I8)+SUM(I10:I11)+SUM(I13:I28)+SUM(I30:I36)+I38+SUM(I40:I44)+SUM(I46:I47)</f>
        <v>12581.43321293432</v>
      </c>
      <c r="J48" s="980">
        <f>SUM(J6:J8)+SUM(J10:J11)+SUM(J13:J28)+SUM(J30:J36)+J38+SUM(J40:J44)+SUM(J46:J47)</f>
        <v>5650.8601781167999</v>
      </c>
      <c r="K48" s="980">
        <f>SUM(K6:K8)+SUM(K10:K11)+SUM(K13:K28)+SUM(K30:K36)+K38+SUM(K40:K44)+SUM(K46:K47)</f>
        <v>1388.75</v>
      </c>
      <c r="L48" s="986" t="s">
        <v>792</v>
      </c>
    </row>
    <row r="49" spans="3:12" ht="15">
      <c r="H49" s="1020">
        <f>H11+H21+H22+H23+H24+H25+H26+H27+H28+H35+H36</f>
        <v>55675964.200000003</v>
      </c>
      <c r="I49" s="1020">
        <f>I11+I21+I22+I23+I24+I25+I26+I27+I28+I35+I36</f>
        <v>6722.23</v>
      </c>
      <c r="J49" s="1020">
        <f>J11+J21+J22+J23+J24+J25+J26+J27+J28+J35+J36</f>
        <v>1828.78</v>
      </c>
      <c r="K49" s="1020">
        <f>K11+K21+K22+K23+K24+K25+K26+K27+K28+K35+K36</f>
        <v>112.97</v>
      </c>
      <c r="L49" s="662"/>
    </row>
    <row r="50" spans="3:12" ht="15">
      <c r="H50" s="1019">
        <f>H48-H49</f>
        <v>76715707.570000008</v>
      </c>
      <c r="I50" s="1019">
        <f>I48-I49</f>
        <v>5859.2032129343206</v>
      </c>
      <c r="J50" s="1019">
        <f>J48-J49</f>
        <v>3822.0801781168002</v>
      </c>
      <c r="K50" s="1019">
        <f>K48-K49</f>
        <v>1275.78</v>
      </c>
      <c r="L50" s="662"/>
    </row>
    <row r="53" spans="3:12" ht="15" thickBot="1"/>
    <row r="54" spans="3:12" ht="15" thickBot="1">
      <c r="C54" s="679"/>
      <c r="D54" s="680" t="s">
        <v>602</v>
      </c>
      <c r="E54" s="680"/>
      <c r="F54" s="681"/>
      <c r="G54" s="681"/>
      <c r="H54" s="682"/>
    </row>
    <row r="55" spans="3:12">
      <c r="C55" s="1025"/>
      <c r="D55" s="1026">
        <v>100</v>
      </c>
      <c r="E55" s="1026"/>
      <c r="F55" s="1027"/>
      <c r="G55" s="1027"/>
      <c r="H55" s="1028"/>
    </row>
    <row r="56" spans="3:12">
      <c r="C56" s="684"/>
      <c r="D56" s="1029" t="s">
        <v>43</v>
      </c>
      <c r="E56" s="1021">
        <v>96.8</v>
      </c>
      <c r="F56" s="1021">
        <v>3.0000000000000001E-5</v>
      </c>
      <c r="G56" s="1021">
        <v>8.9999999999999993E-3</v>
      </c>
      <c r="H56" s="683">
        <v>0.03</v>
      </c>
    </row>
    <row r="57" spans="3:12">
      <c r="C57" s="684"/>
      <c r="D57" s="1021"/>
      <c r="E57" s="1005" t="s">
        <v>603</v>
      </c>
      <c r="F57" s="1022" t="s">
        <v>604</v>
      </c>
      <c r="G57" s="1005" t="s">
        <v>605</v>
      </c>
      <c r="H57" s="1030" t="s">
        <v>1018</v>
      </c>
    </row>
    <row r="58" spans="3:12">
      <c r="C58" s="685" t="s">
        <v>1024</v>
      </c>
      <c r="D58" s="1023">
        <f>E58*100/E56</f>
        <v>5837.6654732611569</v>
      </c>
      <c r="E58" s="1023">
        <f>J48</f>
        <v>5650.8601781167999</v>
      </c>
      <c r="F58" s="1024">
        <f>F56*D58/D55</f>
        <v>1.7512996419783472E-3</v>
      </c>
      <c r="G58" s="1003">
        <f>G56*D58/D55</f>
        <v>0.5253898925935041</v>
      </c>
      <c r="H58" s="1045">
        <f>SUM(H59:H60)</f>
        <v>1.6410097957251186</v>
      </c>
    </row>
    <row r="59" spans="3:12">
      <c r="C59" s="685" t="s">
        <v>1025</v>
      </c>
      <c r="D59" s="1023">
        <f>E59*100/E56</f>
        <v>3948.4299360710747</v>
      </c>
      <c r="E59" s="1023">
        <f>J50</f>
        <v>3822.0801781168002</v>
      </c>
      <c r="F59" s="1024">
        <f>F56*D59/D55</f>
        <v>1.1845289808213224E-3</v>
      </c>
      <c r="G59" s="1003">
        <f>G56*D59/D55</f>
        <v>0.35535869424639671</v>
      </c>
      <c r="H59" s="1045">
        <f>(E59*E56%)*H56%</f>
        <v>1.1099320837251185</v>
      </c>
    </row>
    <row r="60" spans="3:12" ht="15" thickBot="1">
      <c r="C60" s="1031" t="s">
        <v>1026</v>
      </c>
      <c r="D60" s="1032">
        <f>E60*100/E56</f>
        <v>1889.2355371900826</v>
      </c>
      <c r="E60" s="1032">
        <f>J49</f>
        <v>1828.78</v>
      </c>
      <c r="F60" s="1033">
        <f>F56*D60/D55</f>
        <v>5.6677066115702482E-4</v>
      </c>
      <c r="G60" s="1034">
        <f>G56*D60/D55</f>
        <v>0.17003119834710742</v>
      </c>
      <c r="H60" s="1046">
        <f>(E60*E56%)*H56%</f>
        <v>0.53107771199999998</v>
      </c>
    </row>
  </sheetData>
  <mergeCells count="22">
    <mergeCell ref="F3:G3"/>
    <mergeCell ref="H3:H4"/>
    <mergeCell ref="I3:K3"/>
    <mergeCell ref="D46:D47"/>
    <mergeCell ref="A38:A43"/>
    <mergeCell ref="A46:A47"/>
    <mergeCell ref="B2:L2"/>
    <mergeCell ref="B5:L5"/>
    <mergeCell ref="B45:L45"/>
    <mergeCell ref="B39:L39"/>
    <mergeCell ref="B37:L37"/>
    <mergeCell ref="B29:L29"/>
    <mergeCell ref="B12:L12"/>
    <mergeCell ref="B9:L9"/>
    <mergeCell ref="D40:D44"/>
    <mergeCell ref="D30:D34"/>
    <mergeCell ref="D6:D8"/>
    <mergeCell ref="D13:D20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2:Q46"/>
  <sheetViews>
    <sheetView showGridLines="0" view="pageBreakPreview" zoomScale="80" zoomScaleSheetLayoutView="80" workbookViewId="0">
      <selection activeCell="C8" sqref="C8"/>
    </sheetView>
  </sheetViews>
  <sheetFormatPr defaultRowHeight="15"/>
  <cols>
    <col min="1" max="1" width="3" style="921" customWidth="1"/>
    <col min="2" max="2" width="5.625" style="921" customWidth="1"/>
    <col min="3" max="3" width="42.625" style="921" customWidth="1"/>
    <col min="4" max="4" width="15.25" style="921" customWidth="1"/>
    <col min="5" max="5" width="34.125" style="921" customWidth="1"/>
    <col min="6" max="6" width="12.5" style="921" customWidth="1"/>
    <col min="7" max="7" width="13.375" style="921" customWidth="1"/>
    <col min="8" max="8" width="15.5" style="921" customWidth="1"/>
    <col min="9" max="11" width="9" style="922"/>
    <col min="12" max="12" width="21.25" style="921" customWidth="1"/>
    <col min="13" max="13" width="13.125" style="923" customWidth="1"/>
    <col min="14" max="14" width="13.75" style="921" bestFit="1" customWidth="1"/>
    <col min="15" max="16384" width="9" style="921"/>
  </cols>
  <sheetData>
    <row r="2" spans="2:17" ht="15.75" thickBot="1"/>
    <row r="3" spans="2:17" ht="15.75" thickBot="1">
      <c r="B3" s="1407" t="s">
        <v>226</v>
      </c>
      <c r="C3" s="1407"/>
      <c r="D3" s="1407"/>
      <c r="E3" s="1407"/>
      <c r="F3" s="1407"/>
      <c r="G3" s="1407"/>
      <c r="H3" s="1407"/>
      <c r="I3" s="1407"/>
      <c r="J3" s="1407"/>
      <c r="K3" s="1407"/>
      <c r="L3" s="924"/>
      <c r="M3" s="925"/>
      <c r="O3" s="1408" t="s">
        <v>211</v>
      </c>
      <c r="P3" s="1409"/>
      <c r="Q3" s="1410"/>
    </row>
    <row r="4" spans="2:17" ht="15.75" thickBot="1">
      <c r="B4" s="1411" t="s">
        <v>227</v>
      </c>
      <c r="C4" s="1412" t="s">
        <v>228</v>
      </c>
      <c r="D4" s="1412" t="s">
        <v>229</v>
      </c>
      <c r="E4" s="1412" t="s">
        <v>275</v>
      </c>
      <c r="F4" s="1412" t="s">
        <v>230</v>
      </c>
      <c r="G4" s="1412"/>
      <c r="H4" s="1412" t="s">
        <v>231</v>
      </c>
      <c r="I4" s="1413" t="s">
        <v>232</v>
      </c>
      <c r="J4" s="1413"/>
      <c r="K4" s="1413"/>
      <c r="L4" s="1414" t="s">
        <v>287</v>
      </c>
      <c r="M4" s="1414" t="s">
        <v>288</v>
      </c>
      <c r="O4" s="926" t="s">
        <v>212</v>
      </c>
      <c r="P4" s="927">
        <v>3.6</v>
      </c>
      <c r="Q4" s="928" t="s">
        <v>207</v>
      </c>
    </row>
    <row r="5" spans="2:17" ht="39" thickBot="1">
      <c r="B5" s="1411"/>
      <c r="C5" s="1412"/>
      <c r="D5" s="1412"/>
      <c r="E5" s="1412"/>
      <c r="F5" s="929" t="s">
        <v>233</v>
      </c>
      <c r="G5" s="929" t="s">
        <v>234</v>
      </c>
      <c r="H5" s="1412"/>
      <c r="I5" s="930" t="s">
        <v>235</v>
      </c>
      <c r="J5" s="930" t="s">
        <v>910</v>
      </c>
      <c r="K5" s="930" t="s">
        <v>237</v>
      </c>
      <c r="L5" s="1415"/>
      <c r="M5" s="1415"/>
      <c r="O5" s="931" t="s">
        <v>213</v>
      </c>
      <c r="P5" s="932">
        <v>0.27700000000000002</v>
      </c>
      <c r="Q5" s="933" t="s">
        <v>214</v>
      </c>
    </row>
    <row r="6" spans="2:17" ht="52.5" customHeight="1">
      <c r="B6" s="929">
        <v>1</v>
      </c>
      <c r="C6" s="954" t="s">
        <v>238</v>
      </c>
      <c r="D6" s="1406" t="s">
        <v>239</v>
      </c>
      <c r="E6" s="925" t="s">
        <v>911</v>
      </c>
      <c r="F6" s="925">
        <v>2025</v>
      </c>
      <c r="G6" s="925">
        <v>2028</v>
      </c>
      <c r="H6" s="934" t="s">
        <v>90</v>
      </c>
      <c r="I6" s="935" t="s">
        <v>90</v>
      </c>
      <c r="J6" s="935" t="s">
        <v>90</v>
      </c>
      <c r="K6" s="936" t="s">
        <v>90</v>
      </c>
      <c r="L6" s="925" t="s">
        <v>293</v>
      </c>
      <c r="M6" s="925" t="s">
        <v>289</v>
      </c>
    </row>
    <row r="7" spans="2:17" ht="65.25" customHeight="1">
      <c r="B7" s="929">
        <v>2</v>
      </c>
      <c r="C7" s="954" t="s">
        <v>240</v>
      </c>
      <c r="D7" s="1406"/>
      <c r="E7" s="925" t="s">
        <v>911</v>
      </c>
      <c r="F7" s="925">
        <v>2025</v>
      </c>
      <c r="G7" s="925">
        <v>2028</v>
      </c>
      <c r="H7" s="934" t="s">
        <v>90</v>
      </c>
      <c r="I7" s="935" t="s">
        <v>90</v>
      </c>
      <c r="J7" s="935" t="s">
        <v>90</v>
      </c>
      <c r="K7" s="936" t="s">
        <v>90</v>
      </c>
      <c r="L7" s="925" t="s">
        <v>294</v>
      </c>
      <c r="M7" s="925" t="s">
        <v>289</v>
      </c>
    </row>
    <row r="8" spans="2:17" ht="111" customHeight="1">
      <c r="B8" s="929">
        <v>3</v>
      </c>
      <c r="C8" s="954" t="s">
        <v>909</v>
      </c>
      <c r="D8" s="1406"/>
      <c r="E8" s="925" t="s">
        <v>911</v>
      </c>
      <c r="F8" s="925">
        <v>2025</v>
      </c>
      <c r="G8" s="925">
        <v>2028</v>
      </c>
      <c r="H8" s="934">
        <v>10000</v>
      </c>
      <c r="I8" s="935" t="s">
        <v>90</v>
      </c>
      <c r="J8" s="935" t="s">
        <v>90</v>
      </c>
      <c r="K8" s="936" t="s">
        <v>90</v>
      </c>
      <c r="L8" s="925" t="s">
        <v>295</v>
      </c>
      <c r="M8" s="925" t="s">
        <v>290</v>
      </c>
    </row>
    <row r="9" spans="2:17" ht="63" customHeight="1">
      <c r="B9" s="929">
        <v>4</v>
      </c>
      <c r="C9" s="920" t="s">
        <v>915</v>
      </c>
      <c r="D9" s="938" t="s">
        <v>312</v>
      </c>
      <c r="E9" s="938" t="s">
        <v>911</v>
      </c>
      <c r="F9" s="925">
        <v>2025</v>
      </c>
      <c r="G9" s="925">
        <v>2028</v>
      </c>
      <c r="H9" s="939">
        <v>160000</v>
      </c>
      <c r="I9" s="940">
        <v>89.06</v>
      </c>
      <c r="J9" s="940">
        <v>68.680000000000007</v>
      </c>
      <c r="K9" s="943">
        <v>0</v>
      </c>
      <c r="L9" s="938" t="s">
        <v>306</v>
      </c>
      <c r="M9" s="925" t="s">
        <v>912</v>
      </c>
    </row>
    <row r="10" spans="2:17" ht="63" customHeight="1">
      <c r="B10" s="929">
        <v>5</v>
      </c>
      <c r="C10" s="920" t="s">
        <v>916</v>
      </c>
      <c r="D10" s="1397" t="s">
        <v>389</v>
      </c>
      <c r="E10" s="938" t="s">
        <v>911</v>
      </c>
      <c r="F10" s="925">
        <v>2025</v>
      </c>
      <c r="G10" s="925">
        <v>2028</v>
      </c>
      <c r="H10" s="939">
        <v>800000</v>
      </c>
      <c r="I10" s="940">
        <v>224.12</v>
      </c>
      <c r="J10" s="940">
        <v>181.98</v>
      </c>
      <c r="K10" s="943">
        <v>0</v>
      </c>
      <c r="L10" s="925" t="s">
        <v>914</v>
      </c>
      <c r="M10" s="925" t="s">
        <v>912</v>
      </c>
    </row>
    <row r="11" spans="2:17" ht="63" customHeight="1">
      <c r="B11" s="929">
        <v>6</v>
      </c>
      <c r="C11" s="920" t="s">
        <v>917</v>
      </c>
      <c r="D11" s="1398"/>
      <c r="E11" s="938" t="s">
        <v>911</v>
      </c>
      <c r="F11" s="925">
        <v>2025</v>
      </c>
      <c r="G11" s="925">
        <v>2028</v>
      </c>
      <c r="H11" s="939">
        <v>500000</v>
      </c>
      <c r="I11" s="940">
        <v>140.07</v>
      </c>
      <c r="J11" s="940">
        <v>113.74</v>
      </c>
      <c r="K11" s="943">
        <v>0</v>
      </c>
      <c r="L11" s="925" t="s">
        <v>914</v>
      </c>
      <c r="M11" s="925" t="s">
        <v>912</v>
      </c>
    </row>
    <row r="12" spans="2:17" ht="51">
      <c r="B12" s="929">
        <v>7</v>
      </c>
      <c r="C12" s="920" t="s">
        <v>918</v>
      </c>
      <c r="D12" s="1399"/>
      <c r="E12" s="925" t="s">
        <v>911</v>
      </c>
      <c r="F12" s="925">
        <v>2025</v>
      </c>
      <c r="G12" s="925">
        <v>2028</v>
      </c>
      <c r="H12" s="934">
        <v>700000</v>
      </c>
      <c r="I12" s="942">
        <v>199.78</v>
      </c>
      <c r="J12" s="942">
        <v>162.22</v>
      </c>
      <c r="K12" s="943">
        <v>0</v>
      </c>
      <c r="L12" s="925" t="s">
        <v>914</v>
      </c>
      <c r="M12" s="925" t="s">
        <v>912</v>
      </c>
    </row>
    <row r="13" spans="2:17" ht="51">
      <c r="B13" s="929">
        <v>8</v>
      </c>
      <c r="C13" s="920" t="s">
        <v>919</v>
      </c>
      <c r="D13" s="1403" t="s">
        <v>382</v>
      </c>
      <c r="E13" s="944" t="s">
        <v>911</v>
      </c>
      <c r="F13" s="925">
        <v>2025</v>
      </c>
      <c r="G13" s="925">
        <v>2028</v>
      </c>
      <c r="H13" s="945">
        <v>1120000</v>
      </c>
      <c r="I13" s="936">
        <v>94.66</v>
      </c>
      <c r="J13" s="936">
        <v>23.57</v>
      </c>
      <c r="K13" s="936">
        <v>0</v>
      </c>
      <c r="L13" s="925" t="s">
        <v>913</v>
      </c>
      <c r="M13" s="925" t="s">
        <v>912</v>
      </c>
    </row>
    <row r="14" spans="2:17" ht="34.5" customHeight="1">
      <c r="B14" s="929">
        <v>9</v>
      </c>
      <c r="C14" s="920" t="s">
        <v>921</v>
      </c>
      <c r="D14" s="1404"/>
      <c r="E14" s="946" t="s">
        <v>911</v>
      </c>
      <c r="F14" s="925">
        <v>2025</v>
      </c>
      <c r="G14" s="925">
        <v>2028</v>
      </c>
      <c r="H14" s="947">
        <v>1500000</v>
      </c>
      <c r="I14" s="1013">
        <v>25.9</v>
      </c>
      <c r="J14" s="977">
        <v>5.22</v>
      </c>
      <c r="K14" s="979">
        <v>0</v>
      </c>
      <c r="L14" s="938" t="s">
        <v>297</v>
      </c>
      <c r="M14" s="925" t="s">
        <v>912</v>
      </c>
    </row>
    <row r="15" spans="2:17" ht="52.5" customHeight="1">
      <c r="B15" s="929">
        <v>10</v>
      </c>
      <c r="C15" s="920" t="s">
        <v>920</v>
      </c>
      <c r="D15" s="1404"/>
      <c r="E15" s="946" t="s">
        <v>911</v>
      </c>
      <c r="F15" s="925">
        <v>2025</v>
      </c>
      <c r="G15" s="925">
        <v>2028</v>
      </c>
      <c r="H15" s="947">
        <v>28000000</v>
      </c>
      <c r="I15" s="941">
        <v>1053.5</v>
      </c>
      <c r="J15" s="936">
        <v>282.86</v>
      </c>
      <c r="K15" s="941">
        <v>0</v>
      </c>
      <c r="L15" s="938" t="s">
        <v>922</v>
      </c>
      <c r="M15" s="925" t="s">
        <v>912</v>
      </c>
    </row>
    <row r="16" spans="2:17" ht="52.5" customHeight="1">
      <c r="B16" s="929">
        <v>11</v>
      </c>
      <c r="C16" s="920" t="s">
        <v>923</v>
      </c>
      <c r="D16" s="1404"/>
      <c r="E16" s="946" t="s">
        <v>911</v>
      </c>
      <c r="F16" s="938">
        <v>2025</v>
      </c>
      <c r="G16" s="938">
        <v>2028</v>
      </c>
      <c r="H16" s="947">
        <v>9000000</v>
      </c>
      <c r="I16" s="941">
        <v>540.76</v>
      </c>
      <c r="J16" s="936">
        <v>155.18</v>
      </c>
      <c r="K16" s="941">
        <v>0</v>
      </c>
      <c r="L16" s="938" t="s">
        <v>922</v>
      </c>
      <c r="M16" s="925" t="s">
        <v>912</v>
      </c>
    </row>
    <row r="17" spans="2:14" ht="65.25" customHeight="1">
      <c r="B17" s="929">
        <v>12</v>
      </c>
      <c r="C17" s="920" t="s">
        <v>924</v>
      </c>
      <c r="D17" s="1404"/>
      <c r="E17" s="944" t="s">
        <v>911</v>
      </c>
      <c r="F17" s="925">
        <v>2025</v>
      </c>
      <c r="G17" s="925">
        <v>2028</v>
      </c>
      <c r="H17" s="947">
        <v>19000000</v>
      </c>
      <c r="I17" s="936">
        <v>797.13</v>
      </c>
      <c r="J17" s="936">
        <v>219.02</v>
      </c>
      <c r="K17" s="936">
        <v>0</v>
      </c>
      <c r="L17" s="938" t="s">
        <v>922</v>
      </c>
      <c r="M17" s="925" t="s">
        <v>912</v>
      </c>
    </row>
    <row r="18" spans="2:14" ht="55.5" customHeight="1">
      <c r="B18" s="929">
        <v>13</v>
      </c>
      <c r="C18" s="920" t="s">
        <v>941</v>
      </c>
      <c r="D18" s="1404"/>
      <c r="E18" s="944" t="s">
        <v>911</v>
      </c>
      <c r="F18" s="938">
        <v>2025</v>
      </c>
      <c r="G18" s="938">
        <v>2028</v>
      </c>
      <c r="H18" s="947">
        <v>1900000</v>
      </c>
      <c r="I18" s="941">
        <v>284.38</v>
      </c>
      <c r="J18" s="941">
        <v>91.35</v>
      </c>
      <c r="K18" s="941">
        <v>0</v>
      </c>
      <c r="L18" s="938" t="s">
        <v>297</v>
      </c>
      <c r="M18" s="925" t="s">
        <v>912</v>
      </c>
    </row>
    <row r="19" spans="2:14" ht="55.5" customHeight="1">
      <c r="B19" s="929">
        <v>14</v>
      </c>
      <c r="C19" s="976" t="s">
        <v>596</v>
      </c>
      <c r="D19" s="1404"/>
      <c r="E19" s="944" t="s">
        <v>911</v>
      </c>
      <c r="F19" s="938">
        <v>2025</v>
      </c>
      <c r="G19" s="938">
        <v>2028</v>
      </c>
      <c r="H19" s="1010">
        <v>3000000</v>
      </c>
      <c r="I19" s="977">
        <v>119.94</v>
      </c>
      <c r="J19" s="977">
        <v>24.17</v>
      </c>
      <c r="K19" s="977">
        <v>0</v>
      </c>
      <c r="L19" s="938" t="s">
        <v>297</v>
      </c>
      <c r="M19" s="925" t="s">
        <v>912</v>
      </c>
    </row>
    <row r="20" spans="2:14" ht="55.5" customHeight="1">
      <c r="B20" s="929">
        <v>15</v>
      </c>
      <c r="C20" s="976" t="s">
        <v>967</v>
      </c>
      <c r="D20" s="1404"/>
      <c r="E20" s="944" t="s">
        <v>911</v>
      </c>
      <c r="F20" s="938">
        <v>2025</v>
      </c>
      <c r="G20" s="938">
        <v>2028</v>
      </c>
      <c r="H20" s="1010">
        <v>2500000</v>
      </c>
      <c r="I20" s="1013">
        <f>97.54*'Zrealizowane_2020-2024'!O15</f>
        <v>70.466787065679995</v>
      </c>
      <c r="J20" s="1013">
        <f>19.6*'Zrealizowane_2020-2024'!O15</f>
        <v>14.159821883199999</v>
      </c>
      <c r="K20" s="977">
        <v>0</v>
      </c>
      <c r="L20" s="938" t="s">
        <v>297</v>
      </c>
      <c r="M20" s="925" t="s">
        <v>912</v>
      </c>
    </row>
    <row r="21" spans="2:14" ht="51.75" customHeight="1">
      <c r="B21" s="929">
        <v>16</v>
      </c>
      <c r="C21" s="976" t="s">
        <v>968</v>
      </c>
      <c r="D21" s="1404"/>
      <c r="E21" s="944" t="s">
        <v>911</v>
      </c>
      <c r="F21" s="938">
        <v>2025</v>
      </c>
      <c r="G21" s="938">
        <v>2028</v>
      </c>
      <c r="H21" s="1010">
        <v>560000</v>
      </c>
      <c r="I21" s="977">
        <v>287.20999999999998</v>
      </c>
      <c r="J21" s="977">
        <v>233.22</v>
      </c>
      <c r="K21" s="977">
        <v>104.95</v>
      </c>
      <c r="L21" s="1009" t="s">
        <v>1022</v>
      </c>
      <c r="M21" s="925" t="s">
        <v>912</v>
      </c>
    </row>
    <row r="22" spans="2:14" ht="51.75" customHeight="1">
      <c r="B22" s="1008">
        <v>17</v>
      </c>
      <c r="C22" s="1047" t="s">
        <v>1028</v>
      </c>
      <c r="D22" s="1404"/>
      <c r="E22" s="1048" t="s">
        <v>1029</v>
      </c>
      <c r="F22" s="1009">
        <v>2025</v>
      </c>
      <c r="G22" s="1009">
        <v>2028</v>
      </c>
      <c r="H22" s="1010">
        <v>744654.14</v>
      </c>
      <c r="I22" s="1049">
        <v>30.39</v>
      </c>
      <c r="J22" s="1049">
        <v>29.84</v>
      </c>
      <c r="K22" s="1049">
        <v>0</v>
      </c>
      <c r="L22" s="1009" t="s">
        <v>1030</v>
      </c>
      <c r="M22" s="1009" t="s">
        <v>289</v>
      </c>
    </row>
    <row r="23" spans="2:14" ht="51.75" customHeight="1">
      <c r="B23" s="1053">
        <v>18</v>
      </c>
      <c r="C23" s="1051" t="s">
        <v>244</v>
      </c>
      <c r="D23" s="1404"/>
      <c r="E23" s="1048" t="s">
        <v>911</v>
      </c>
      <c r="F23" s="938">
        <v>2025</v>
      </c>
      <c r="G23" s="938">
        <v>2028</v>
      </c>
      <c r="H23" s="1010">
        <v>2500000</v>
      </c>
      <c r="I23" s="1050">
        <v>84.72</v>
      </c>
      <c r="J23" s="1050">
        <v>17.07</v>
      </c>
      <c r="K23" s="1050">
        <v>33.89</v>
      </c>
      <c r="L23" s="938" t="s">
        <v>297</v>
      </c>
      <c r="M23" s="1052" t="s">
        <v>912</v>
      </c>
    </row>
    <row r="24" spans="2:14" ht="51.75" customHeight="1">
      <c r="B24" s="1053">
        <v>19</v>
      </c>
      <c r="C24" s="1051" t="s">
        <v>260</v>
      </c>
      <c r="D24" s="1405"/>
      <c r="E24" s="1048" t="s">
        <v>911</v>
      </c>
      <c r="F24" s="1009">
        <v>2025</v>
      </c>
      <c r="G24" s="1009">
        <v>2028</v>
      </c>
      <c r="H24" s="1010">
        <v>1500000</v>
      </c>
      <c r="I24" s="1050">
        <v>558.70000000000005</v>
      </c>
      <c r="J24" s="1050">
        <v>112.59</v>
      </c>
      <c r="K24" s="1050">
        <v>111.74</v>
      </c>
      <c r="L24" s="938" t="s">
        <v>297</v>
      </c>
      <c r="M24" s="1052" t="s">
        <v>912</v>
      </c>
    </row>
    <row r="25" spans="2:14" ht="38.25" customHeight="1">
      <c r="B25" s="1053">
        <v>20</v>
      </c>
      <c r="C25" s="955" t="s">
        <v>927</v>
      </c>
      <c r="D25" s="1400" t="s">
        <v>385</v>
      </c>
      <c r="E25" s="925" t="s">
        <v>911</v>
      </c>
      <c r="F25" s="925">
        <v>2025</v>
      </c>
      <c r="G25" s="925">
        <v>2028</v>
      </c>
      <c r="H25" s="945">
        <v>5000000</v>
      </c>
      <c r="I25" s="936">
        <v>1025.48</v>
      </c>
      <c r="J25" s="936">
        <v>255.34</v>
      </c>
      <c r="K25" s="936">
        <v>0</v>
      </c>
      <c r="L25" s="925" t="s">
        <v>301</v>
      </c>
      <c r="M25" s="925" t="s">
        <v>912</v>
      </c>
      <c r="N25" s="948"/>
    </row>
    <row r="26" spans="2:14" ht="53.25" customHeight="1">
      <c r="B26" s="1053">
        <v>21</v>
      </c>
      <c r="C26" s="955" t="s">
        <v>928</v>
      </c>
      <c r="D26" s="1402"/>
      <c r="E26" s="925" t="s">
        <v>911</v>
      </c>
      <c r="F26" s="925">
        <v>2025</v>
      </c>
      <c r="G26" s="925">
        <v>2028</v>
      </c>
      <c r="H26" s="945">
        <v>1000000</v>
      </c>
      <c r="I26" s="936">
        <v>157.77000000000001</v>
      </c>
      <c r="J26" s="936">
        <v>39.28</v>
      </c>
      <c r="K26" s="936">
        <v>0</v>
      </c>
      <c r="L26" s="925" t="s">
        <v>931</v>
      </c>
      <c r="M26" s="925" t="s">
        <v>912</v>
      </c>
    </row>
    <row r="27" spans="2:14" ht="41.25" customHeight="1">
      <c r="B27" s="1053">
        <v>22</v>
      </c>
      <c r="C27" s="955" t="s">
        <v>929</v>
      </c>
      <c r="D27" s="1402"/>
      <c r="E27" s="925" t="s">
        <v>911</v>
      </c>
      <c r="F27" s="925">
        <v>2025</v>
      </c>
      <c r="G27" s="925">
        <v>2028</v>
      </c>
      <c r="H27" s="945">
        <v>1000000</v>
      </c>
      <c r="I27" s="936">
        <v>157.77000000000001</v>
      </c>
      <c r="J27" s="936">
        <v>39.28</v>
      </c>
      <c r="K27" s="936">
        <v>0</v>
      </c>
      <c r="L27" s="925" t="s">
        <v>931</v>
      </c>
      <c r="M27" s="925" t="s">
        <v>912</v>
      </c>
    </row>
    <row r="28" spans="2:14" ht="62.25" customHeight="1">
      <c r="B28" s="1053">
        <v>23</v>
      </c>
      <c r="C28" s="955" t="s">
        <v>925</v>
      </c>
      <c r="D28" s="1402"/>
      <c r="E28" s="925" t="s">
        <v>911</v>
      </c>
      <c r="F28" s="925">
        <v>2025</v>
      </c>
      <c r="G28" s="925">
        <v>2028</v>
      </c>
      <c r="H28" s="945">
        <v>1000000</v>
      </c>
      <c r="I28" s="936">
        <v>157.77000000000001</v>
      </c>
      <c r="J28" s="936">
        <v>39.28</v>
      </c>
      <c r="K28" s="936">
        <v>0</v>
      </c>
      <c r="L28" s="925" t="s">
        <v>933</v>
      </c>
      <c r="M28" s="925" t="s">
        <v>912</v>
      </c>
    </row>
    <row r="29" spans="2:14" ht="51">
      <c r="B29" s="1053">
        <v>24</v>
      </c>
      <c r="C29" s="955" t="s">
        <v>926</v>
      </c>
      <c r="D29" s="1402"/>
      <c r="E29" s="925" t="s">
        <v>911</v>
      </c>
      <c r="F29" s="925">
        <v>2025</v>
      </c>
      <c r="G29" s="925">
        <v>2028</v>
      </c>
      <c r="H29" s="945">
        <v>2500000</v>
      </c>
      <c r="I29" s="936">
        <v>394.42</v>
      </c>
      <c r="J29" s="936">
        <v>98.21</v>
      </c>
      <c r="K29" s="936">
        <v>0</v>
      </c>
      <c r="L29" s="925" t="s">
        <v>931</v>
      </c>
      <c r="M29" s="925" t="s">
        <v>912</v>
      </c>
    </row>
    <row r="30" spans="2:14" ht="51">
      <c r="B30" s="1053">
        <v>25</v>
      </c>
      <c r="C30" s="955" t="s">
        <v>930</v>
      </c>
      <c r="D30" s="1402"/>
      <c r="E30" s="925" t="s">
        <v>911</v>
      </c>
      <c r="F30" s="925">
        <v>2025</v>
      </c>
      <c r="G30" s="925">
        <v>2028</v>
      </c>
      <c r="H30" s="945">
        <v>1200000</v>
      </c>
      <c r="I30" s="936">
        <v>189.32</v>
      </c>
      <c r="J30" s="936">
        <v>47.14</v>
      </c>
      <c r="K30" s="936">
        <v>0</v>
      </c>
      <c r="L30" s="925" t="s">
        <v>931</v>
      </c>
      <c r="M30" s="925" t="s">
        <v>912</v>
      </c>
    </row>
    <row r="31" spans="2:14" ht="51">
      <c r="B31" s="1053">
        <v>26</v>
      </c>
      <c r="C31" s="955" t="s">
        <v>932</v>
      </c>
      <c r="D31" s="1402"/>
      <c r="E31" s="925" t="s">
        <v>911</v>
      </c>
      <c r="F31" s="925">
        <v>2025</v>
      </c>
      <c r="G31" s="925">
        <v>2028</v>
      </c>
      <c r="H31" s="945">
        <v>2500000</v>
      </c>
      <c r="I31" s="936">
        <v>394.42</v>
      </c>
      <c r="J31" s="936">
        <v>98.21</v>
      </c>
      <c r="K31" s="936">
        <v>0</v>
      </c>
      <c r="L31" s="925" t="s">
        <v>933</v>
      </c>
      <c r="M31" s="925" t="s">
        <v>912</v>
      </c>
    </row>
    <row r="32" spans="2:14" ht="51">
      <c r="B32" s="1053">
        <v>27</v>
      </c>
      <c r="C32" s="955" t="s">
        <v>934</v>
      </c>
      <c r="D32" s="1402"/>
      <c r="E32" s="925" t="s">
        <v>911</v>
      </c>
      <c r="F32" s="925">
        <v>2025</v>
      </c>
      <c r="G32" s="925">
        <v>2028</v>
      </c>
      <c r="H32" s="945">
        <v>2400000</v>
      </c>
      <c r="I32" s="936">
        <v>473.3</v>
      </c>
      <c r="J32" s="936">
        <v>117.85</v>
      </c>
      <c r="K32" s="936">
        <v>0</v>
      </c>
      <c r="L32" s="925" t="s">
        <v>935</v>
      </c>
      <c r="M32" s="925" t="s">
        <v>912</v>
      </c>
    </row>
    <row r="33" spans="2:16" ht="51">
      <c r="B33" s="1053">
        <v>28</v>
      </c>
      <c r="C33" s="955" t="s">
        <v>936</v>
      </c>
      <c r="D33" s="1402"/>
      <c r="E33" s="925" t="s">
        <v>911</v>
      </c>
      <c r="F33" s="925">
        <v>2025</v>
      </c>
      <c r="G33" s="925">
        <v>2028</v>
      </c>
      <c r="H33" s="945">
        <v>1600000</v>
      </c>
      <c r="I33" s="936">
        <v>252.43</v>
      </c>
      <c r="J33" s="936">
        <v>62.85</v>
      </c>
      <c r="K33" s="936">
        <v>0</v>
      </c>
      <c r="L33" s="925" t="s">
        <v>933</v>
      </c>
      <c r="M33" s="925" t="s">
        <v>912</v>
      </c>
    </row>
    <row r="34" spans="2:16" ht="51">
      <c r="B34" s="1053">
        <v>29</v>
      </c>
      <c r="C34" s="976" t="s">
        <v>246</v>
      </c>
      <c r="D34" s="1402"/>
      <c r="E34" s="925" t="s">
        <v>911</v>
      </c>
      <c r="F34" s="925">
        <v>2025</v>
      </c>
      <c r="G34" s="925">
        <v>2028</v>
      </c>
      <c r="H34" s="945">
        <v>300000</v>
      </c>
      <c r="I34" s="977">
        <v>48.07</v>
      </c>
      <c r="J34" s="977">
        <v>12.03</v>
      </c>
      <c r="K34" s="977">
        <v>0</v>
      </c>
      <c r="L34" s="925" t="s">
        <v>301</v>
      </c>
      <c r="M34" s="925" t="s">
        <v>912</v>
      </c>
    </row>
    <row r="35" spans="2:16" ht="51">
      <c r="B35" s="1053">
        <v>30</v>
      </c>
      <c r="C35" s="976" t="s">
        <v>247</v>
      </c>
      <c r="D35" s="1402"/>
      <c r="E35" s="925" t="s">
        <v>911</v>
      </c>
      <c r="F35" s="925">
        <v>2025</v>
      </c>
      <c r="G35" s="925">
        <v>2028</v>
      </c>
      <c r="H35" s="945">
        <v>32000</v>
      </c>
      <c r="I35" s="977" t="s">
        <v>90</v>
      </c>
      <c r="J35" s="977">
        <v>3.25</v>
      </c>
      <c r="K35" s="1013">
        <v>4</v>
      </c>
      <c r="L35" s="1009" t="s">
        <v>1020</v>
      </c>
      <c r="M35" s="925" t="s">
        <v>912</v>
      </c>
    </row>
    <row r="36" spans="2:16" ht="26.25" customHeight="1">
      <c r="B36" s="1053">
        <v>31</v>
      </c>
      <c r="C36" s="976" t="s">
        <v>248</v>
      </c>
      <c r="D36" s="1402"/>
      <c r="E36" s="925" t="s">
        <v>911</v>
      </c>
      <c r="F36" s="925">
        <v>2025</v>
      </c>
      <c r="G36" s="925">
        <v>2028</v>
      </c>
      <c r="H36" s="945">
        <v>5000000</v>
      </c>
      <c r="I36" s="977">
        <v>146.81</v>
      </c>
      <c r="J36" s="977">
        <v>36.729999999999997</v>
      </c>
      <c r="K36" s="977">
        <v>0</v>
      </c>
      <c r="L36" s="925" t="s">
        <v>938</v>
      </c>
      <c r="M36" s="925" t="s">
        <v>912</v>
      </c>
    </row>
    <row r="37" spans="2:16" ht="51">
      <c r="B37" s="1053">
        <v>32</v>
      </c>
      <c r="C37" s="976" t="s">
        <v>972</v>
      </c>
      <c r="D37" s="1401"/>
      <c r="E37" s="925" t="s">
        <v>911</v>
      </c>
      <c r="F37" s="925">
        <v>2025</v>
      </c>
      <c r="G37" s="925">
        <v>2028</v>
      </c>
      <c r="H37" s="945">
        <v>30000</v>
      </c>
      <c r="I37" s="977">
        <v>250.35</v>
      </c>
      <c r="J37" s="977">
        <v>64.52</v>
      </c>
      <c r="K37" s="977">
        <v>0</v>
      </c>
      <c r="L37" s="1009" t="s">
        <v>1021</v>
      </c>
      <c r="M37" s="925" t="s">
        <v>912</v>
      </c>
    </row>
    <row r="38" spans="2:16" ht="51">
      <c r="B38" s="1053">
        <v>33</v>
      </c>
      <c r="C38" s="955" t="s">
        <v>937</v>
      </c>
      <c r="D38" s="1400" t="s">
        <v>386</v>
      </c>
      <c r="E38" s="925" t="s">
        <v>911</v>
      </c>
      <c r="F38" s="925">
        <v>2025</v>
      </c>
      <c r="G38" s="925">
        <v>2028</v>
      </c>
      <c r="H38" s="945">
        <v>2100000</v>
      </c>
      <c r="I38" s="936">
        <v>120.6</v>
      </c>
      <c r="J38" s="936">
        <v>31.2</v>
      </c>
      <c r="K38" s="936">
        <v>0</v>
      </c>
      <c r="L38" s="925" t="s">
        <v>938</v>
      </c>
      <c r="M38" s="925" t="s">
        <v>912</v>
      </c>
    </row>
    <row r="39" spans="2:16" ht="56.25" customHeight="1">
      <c r="B39" s="1053">
        <v>34</v>
      </c>
      <c r="C39" s="955" t="s">
        <v>939</v>
      </c>
      <c r="D39" s="1401"/>
      <c r="E39" s="925" t="s">
        <v>911</v>
      </c>
      <c r="F39" s="925">
        <v>2025</v>
      </c>
      <c r="G39" s="925">
        <v>2028</v>
      </c>
      <c r="H39" s="945">
        <v>5700000</v>
      </c>
      <c r="I39" s="936">
        <v>39.950000000000003</v>
      </c>
      <c r="J39" s="936">
        <v>39.229999999999997</v>
      </c>
      <c r="K39" s="936">
        <v>0</v>
      </c>
      <c r="L39" s="925" t="s">
        <v>940</v>
      </c>
      <c r="M39" s="925" t="s">
        <v>912</v>
      </c>
      <c r="N39" s="949"/>
    </row>
    <row r="40" spans="2:16" ht="51">
      <c r="B40" s="1053">
        <v>35</v>
      </c>
      <c r="C40" s="937" t="s">
        <v>1003</v>
      </c>
      <c r="D40" s="1400" t="s">
        <v>1004</v>
      </c>
      <c r="E40" s="938" t="s">
        <v>38</v>
      </c>
      <c r="F40" s="925">
        <v>2025</v>
      </c>
      <c r="G40" s="925">
        <v>2028</v>
      </c>
      <c r="H40" s="947">
        <v>400000</v>
      </c>
      <c r="I40" s="941">
        <v>0</v>
      </c>
      <c r="J40" s="941">
        <v>55.97</v>
      </c>
      <c r="K40" s="941">
        <v>57</v>
      </c>
      <c r="L40" s="938" t="s">
        <v>1006</v>
      </c>
      <c r="M40" s="925" t="s">
        <v>912</v>
      </c>
      <c r="N40" s="949"/>
    </row>
    <row r="41" spans="2:16" ht="51">
      <c r="B41" s="1053">
        <v>36</v>
      </c>
      <c r="C41" s="929" t="s">
        <v>1005</v>
      </c>
      <c r="D41" s="1402"/>
      <c r="E41" s="938" t="s">
        <v>38</v>
      </c>
      <c r="F41" s="938">
        <v>2025</v>
      </c>
      <c r="G41" s="938">
        <v>2028</v>
      </c>
      <c r="H41" s="947">
        <v>50000</v>
      </c>
      <c r="I41" s="941">
        <v>89.06</v>
      </c>
      <c r="J41" s="941">
        <v>68.680000000000007</v>
      </c>
      <c r="K41" s="941">
        <v>0</v>
      </c>
      <c r="L41" s="938" t="s">
        <v>1007</v>
      </c>
      <c r="M41" s="925" t="s">
        <v>912</v>
      </c>
      <c r="N41" s="949"/>
    </row>
    <row r="42" spans="2:16" ht="51">
      <c r="B42" s="1053">
        <v>37</v>
      </c>
      <c r="C42" s="929" t="s">
        <v>1008</v>
      </c>
      <c r="D42" s="1402"/>
      <c r="E42" s="938" t="s">
        <v>38</v>
      </c>
      <c r="F42" s="938">
        <v>2025</v>
      </c>
      <c r="G42" s="938">
        <v>2028</v>
      </c>
      <c r="H42" s="947">
        <v>55000</v>
      </c>
      <c r="I42" s="941">
        <v>0</v>
      </c>
      <c r="J42" s="941">
        <v>59.03</v>
      </c>
      <c r="K42" s="941">
        <v>11.15</v>
      </c>
      <c r="L42" s="938" t="s">
        <v>1009</v>
      </c>
      <c r="M42" s="925" t="s">
        <v>912</v>
      </c>
      <c r="N42" s="949"/>
    </row>
    <row r="43" spans="2:16">
      <c r="B43" s="1053">
        <v>38</v>
      </c>
      <c r="C43" s="937" t="s">
        <v>1010</v>
      </c>
      <c r="D43" s="1402"/>
      <c r="E43" s="938" t="s">
        <v>38</v>
      </c>
      <c r="F43" s="938">
        <v>2025</v>
      </c>
      <c r="G43" s="938">
        <v>2028</v>
      </c>
      <c r="H43" s="947">
        <v>40000</v>
      </c>
      <c r="I43" s="941">
        <v>0</v>
      </c>
      <c r="J43" s="941">
        <v>94.45</v>
      </c>
      <c r="K43" s="941">
        <v>203.3</v>
      </c>
      <c r="L43" s="938"/>
      <c r="M43" s="938"/>
      <c r="N43" s="949"/>
    </row>
    <row r="44" spans="2:16" ht="51">
      <c r="B44" s="1053">
        <v>39</v>
      </c>
      <c r="C44" s="929" t="s">
        <v>1011</v>
      </c>
      <c r="D44" s="1401"/>
      <c r="E44" s="938" t="s">
        <v>38</v>
      </c>
      <c r="F44" s="938">
        <v>2025</v>
      </c>
      <c r="G44" s="938">
        <v>2028</v>
      </c>
      <c r="H44" s="945">
        <v>600000</v>
      </c>
      <c r="I44" s="936">
        <v>66.7</v>
      </c>
      <c r="J44" s="936">
        <v>23.61</v>
      </c>
      <c r="K44" s="936">
        <v>0</v>
      </c>
      <c r="L44" s="938" t="s">
        <v>1012</v>
      </c>
      <c r="M44" s="925" t="s">
        <v>912</v>
      </c>
      <c r="N44" s="949"/>
      <c r="O44" s="922"/>
      <c r="P44" s="922"/>
    </row>
    <row r="45" spans="2:16">
      <c r="C45" s="950" t="s">
        <v>251</v>
      </c>
      <c r="H45" s="951">
        <f>SUM(H8:H44)</f>
        <v>106001654.14</v>
      </c>
      <c r="I45" s="952">
        <f>SUM(I6:I44)</f>
        <v>8565.006787065684</v>
      </c>
      <c r="J45" s="952">
        <f>SUM(J6:J44)</f>
        <v>3021.0098218831995</v>
      </c>
      <c r="K45" s="952">
        <f>SUM(K6:K44)</f>
        <v>526.03</v>
      </c>
      <c r="L45" s="924"/>
      <c r="M45" s="925"/>
    </row>
    <row r="46" spans="2:16">
      <c r="J46" s="953"/>
    </row>
  </sheetData>
  <mergeCells count="17">
    <mergeCell ref="D6:D8"/>
    <mergeCell ref="B3:K3"/>
    <mergeCell ref="O3:Q3"/>
    <mergeCell ref="B4:B5"/>
    <mergeCell ref="C4:C5"/>
    <mergeCell ref="D4:D5"/>
    <mergeCell ref="E4:E5"/>
    <mergeCell ref="F4:G4"/>
    <mergeCell ref="H4:H5"/>
    <mergeCell ref="I4:K4"/>
    <mergeCell ref="L4:L5"/>
    <mergeCell ref="M4:M5"/>
    <mergeCell ref="D10:D12"/>
    <mergeCell ref="D38:D39"/>
    <mergeCell ref="D40:D44"/>
    <mergeCell ref="D25:D37"/>
    <mergeCell ref="D13:D24"/>
  </mergeCells>
  <pageMargins left="0.7" right="0.7" top="0.75" bottom="0.75" header="0.3" footer="0.3"/>
  <pageSetup paperSize="9" scale="52" orientation="landscape" r:id="rId1"/>
  <colBreaks count="1" manualBreakCount="1">
    <brk id="13" max="26" man="1"/>
  </colBreaks>
</worksheet>
</file>

<file path=xl/worksheets/sheet43.xml><?xml version="1.0" encoding="utf-8"?>
<worksheet xmlns="http://schemas.openxmlformats.org/spreadsheetml/2006/main" xmlns:r="http://schemas.openxmlformats.org/officeDocument/2006/relationships">
  <dimension ref="B1:F69"/>
  <sheetViews>
    <sheetView topLeftCell="A52" workbookViewId="0">
      <selection activeCell="H17" sqref="H17"/>
    </sheetView>
  </sheetViews>
  <sheetFormatPr defaultRowHeight="15"/>
  <cols>
    <col min="1" max="1" width="3.875" style="573" customWidth="1"/>
    <col min="2" max="2" width="3.5" style="586" customWidth="1"/>
    <col min="3" max="3" width="42.25" style="573" customWidth="1"/>
    <col min="4" max="4" width="14.875" style="573" customWidth="1"/>
    <col min="5" max="5" width="10.875" style="573" customWidth="1"/>
    <col min="6" max="6" width="22.75" style="573" customWidth="1"/>
    <col min="7" max="16384" width="9" style="573"/>
  </cols>
  <sheetData>
    <row r="1" spans="2:6" ht="15.75" thickBot="1"/>
    <row r="2" spans="2:6" ht="15.75" thickBot="1">
      <c r="B2" s="1386" t="s">
        <v>513</v>
      </c>
      <c r="C2" s="1387"/>
      <c r="D2" s="1387"/>
      <c r="E2" s="1387"/>
      <c r="F2" s="1388"/>
    </row>
    <row r="3" spans="2:6">
      <c r="B3" s="592" t="s">
        <v>227</v>
      </c>
      <c r="C3" s="574" t="s">
        <v>514</v>
      </c>
      <c r="D3" s="574" t="s">
        <v>271</v>
      </c>
      <c r="E3" s="574" t="s">
        <v>67</v>
      </c>
      <c r="F3" s="575" t="s">
        <v>515</v>
      </c>
    </row>
    <row r="4" spans="2:6">
      <c r="B4" s="593">
        <v>1</v>
      </c>
      <c r="C4" s="576" t="s">
        <v>516</v>
      </c>
      <c r="D4" s="653">
        <v>50</v>
      </c>
      <c r="E4" s="576" t="s">
        <v>517</v>
      </c>
      <c r="F4" s="578" t="s">
        <v>518</v>
      </c>
    </row>
    <row r="5" spans="2:6">
      <c r="B5" s="594">
        <v>2</v>
      </c>
      <c r="C5" s="579" t="s">
        <v>519</v>
      </c>
      <c r="D5" s="580">
        <v>5</v>
      </c>
      <c r="E5" s="579" t="s">
        <v>520</v>
      </c>
      <c r="F5" s="581" t="s">
        <v>518</v>
      </c>
    </row>
    <row r="6" spans="2:6">
      <c r="B6" s="594">
        <v>3</v>
      </c>
      <c r="C6" s="579" t="s">
        <v>521</v>
      </c>
      <c r="D6" s="580">
        <v>12.5</v>
      </c>
      <c r="E6" s="579" t="s">
        <v>522</v>
      </c>
      <c r="F6" s="581" t="s">
        <v>523</v>
      </c>
    </row>
    <row r="7" spans="2:6">
      <c r="B7" s="594">
        <v>4</v>
      </c>
      <c r="C7" s="579" t="s">
        <v>524</v>
      </c>
      <c r="D7" s="580">
        <v>275</v>
      </c>
      <c r="E7" s="579" t="s">
        <v>525</v>
      </c>
      <c r="F7" s="581" t="s">
        <v>523</v>
      </c>
    </row>
    <row r="8" spans="2:6">
      <c r="B8" s="594">
        <v>5</v>
      </c>
      <c r="C8" s="579" t="s">
        <v>526</v>
      </c>
      <c r="D8" s="580">
        <f>D7*D6*D5</f>
        <v>17187.5</v>
      </c>
      <c r="E8" s="579" t="s">
        <v>527</v>
      </c>
      <c r="F8" s="581"/>
    </row>
    <row r="9" spans="2:6">
      <c r="B9" s="594">
        <v>6</v>
      </c>
      <c r="C9" s="579" t="s">
        <v>528</v>
      </c>
      <c r="D9" s="580">
        <f>D8*D4/1000</f>
        <v>859.375</v>
      </c>
      <c r="E9" s="579" t="s">
        <v>207</v>
      </c>
      <c r="F9" s="581"/>
    </row>
    <row r="10" spans="2:6">
      <c r="B10" s="594">
        <v>7</v>
      </c>
      <c r="C10" s="579" t="s">
        <v>529</v>
      </c>
      <c r="D10" s="582">
        <v>9.8000000000000004E-2</v>
      </c>
      <c r="E10" s="579" t="s">
        <v>530</v>
      </c>
      <c r="F10" s="581" t="s">
        <v>531</v>
      </c>
    </row>
    <row r="11" spans="2:6">
      <c r="B11" s="594">
        <v>8</v>
      </c>
      <c r="C11" s="579" t="s">
        <v>532</v>
      </c>
      <c r="D11" s="580">
        <f>D10*D9</f>
        <v>84.21875</v>
      </c>
      <c r="E11" s="579" t="s">
        <v>533</v>
      </c>
      <c r="F11" s="581"/>
    </row>
    <row r="12" spans="2:6">
      <c r="B12" s="594">
        <v>9</v>
      </c>
      <c r="C12" s="579" t="s">
        <v>534</v>
      </c>
      <c r="D12" s="580">
        <v>14000</v>
      </c>
      <c r="E12" s="579" t="s">
        <v>535</v>
      </c>
      <c r="F12" s="581" t="s">
        <v>523</v>
      </c>
    </row>
    <row r="13" spans="2:6">
      <c r="B13" s="594">
        <v>10</v>
      </c>
      <c r="C13" s="579" t="s">
        <v>536</v>
      </c>
      <c r="D13" s="580">
        <f>D12*D4</f>
        <v>700000</v>
      </c>
      <c r="E13" s="579" t="s">
        <v>537</v>
      </c>
      <c r="F13" s="581"/>
    </row>
    <row r="14" spans="2:6" ht="15.75" thickBot="1">
      <c r="B14" s="595">
        <v>11</v>
      </c>
      <c r="C14" s="583" t="s">
        <v>538</v>
      </c>
      <c r="D14" s="584">
        <f>D13/D11</f>
        <v>8311.6883116883109</v>
      </c>
      <c r="E14" s="583" t="s">
        <v>539</v>
      </c>
      <c r="F14" s="585"/>
    </row>
    <row r="15" spans="2:6" ht="15.75" thickBot="1"/>
    <row r="16" spans="2:6" ht="15.75" thickBot="1">
      <c r="B16" s="1386" t="s">
        <v>549</v>
      </c>
      <c r="C16" s="1387"/>
      <c r="D16" s="1387"/>
      <c r="E16" s="1387"/>
      <c r="F16" s="1388"/>
    </row>
    <row r="17" spans="2:6">
      <c r="B17" s="592" t="s">
        <v>227</v>
      </c>
      <c r="C17" s="574" t="s">
        <v>514</v>
      </c>
      <c r="D17" s="574" t="s">
        <v>271</v>
      </c>
      <c r="E17" s="574" t="s">
        <v>67</v>
      </c>
      <c r="F17" s="575" t="s">
        <v>515</v>
      </c>
    </row>
    <row r="18" spans="2:6">
      <c r="B18" s="593">
        <v>1</v>
      </c>
      <c r="C18" s="576" t="s">
        <v>516</v>
      </c>
      <c r="D18" s="577">
        <v>40</v>
      </c>
      <c r="E18" s="576" t="s">
        <v>517</v>
      </c>
      <c r="F18" s="578" t="s">
        <v>518</v>
      </c>
    </row>
    <row r="19" spans="2:6">
      <c r="B19" s="594">
        <v>2</v>
      </c>
      <c r="C19" s="579" t="s">
        <v>540</v>
      </c>
      <c r="D19" s="580">
        <v>4</v>
      </c>
      <c r="E19" s="579" t="s">
        <v>541</v>
      </c>
      <c r="F19" s="581" t="s">
        <v>518</v>
      </c>
    </row>
    <row r="20" spans="2:6">
      <c r="B20" s="594">
        <v>3</v>
      </c>
      <c r="C20" s="579" t="s">
        <v>542</v>
      </c>
      <c r="D20" s="580">
        <f>D19*D18</f>
        <v>160</v>
      </c>
      <c r="E20" s="579" t="s">
        <v>541</v>
      </c>
      <c r="F20" s="581"/>
    </row>
    <row r="21" spans="2:6">
      <c r="B21" s="594">
        <v>4</v>
      </c>
      <c r="C21" s="579" t="s">
        <v>543</v>
      </c>
      <c r="D21" s="580">
        <v>1</v>
      </c>
      <c r="E21" s="579" t="s">
        <v>235</v>
      </c>
      <c r="F21" s="581" t="s">
        <v>523</v>
      </c>
    </row>
    <row r="22" spans="2:6">
      <c r="B22" s="594">
        <v>5</v>
      </c>
      <c r="C22" s="579" t="s">
        <v>544</v>
      </c>
      <c r="D22" s="580">
        <v>0.81200000000000006</v>
      </c>
      <c r="E22" s="579" t="s">
        <v>545</v>
      </c>
      <c r="F22" s="581" t="s">
        <v>552</v>
      </c>
    </row>
    <row r="23" spans="2:6">
      <c r="B23" s="594">
        <v>6</v>
      </c>
      <c r="C23" s="579" t="s">
        <v>546</v>
      </c>
      <c r="D23" s="580">
        <f>D20*D21</f>
        <v>160</v>
      </c>
      <c r="E23" s="579" t="s">
        <v>235</v>
      </c>
      <c r="F23" s="581"/>
    </row>
    <row r="24" spans="2:6">
      <c r="B24" s="594">
        <v>7</v>
      </c>
      <c r="C24" s="579" t="s">
        <v>532</v>
      </c>
      <c r="D24" s="580">
        <f>D23*D22</f>
        <v>129.92000000000002</v>
      </c>
      <c r="E24" s="579" t="s">
        <v>533</v>
      </c>
      <c r="F24" s="581"/>
    </row>
    <row r="25" spans="2:6">
      <c r="B25" s="594">
        <v>8</v>
      </c>
      <c r="C25" s="579" t="s">
        <v>547</v>
      </c>
      <c r="D25" s="580">
        <v>8000</v>
      </c>
      <c r="E25" s="579" t="s">
        <v>548</v>
      </c>
      <c r="F25" s="581" t="s">
        <v>523</v>
      </c>
    </row>
    <row r="26" spans="2:6">
      <c r="B26" s="594">
        <v>9</v>
      </c>
      <c r="C26" s="579" t="s">
        <v>536</v>
      </c>
      <c r="D26" s="580">
        <f>D25*D20</f>
        <v>1280000</v>
      </c>
      <c r="E26" s="579" t="s">
        <v>548</v>
      </c>
      <c r="F26" s="581"/>
    </row>
    <row r="27" spans="2:6" ht="15.75" thickBot="1">
      <c r="B27" s="595">
        <v>10</v>
      </c>
      <c r="C27" s="583" t="s">
        <v>538</v>
      </c>
      <c r="D27" s="584">
        <f>D25*D20/D24</f>
        <v>9852.216748768471</v>
      </c>
      <c r="E27" s="583" t="s">
        <v>539</v>
      </c>
      <c r="F27" s="585"/>
    </row>
    <row r="28" spans="2:6" ht="15.75" thickBot="1"/>
    <row r="29" spans="2:6" ht="15.75" thickBot="1">
      <c r="B29" s="1386" t="s">
        <v>249</v>
      </c>
      <c r="C29" s="1387"/>
      <c r="D29" s="1387"/>
      <c r="E29" s="1387"/>
      <c r="F29" s="1388"/>
    </row>
    <row r="30" spans="2:6">
      <c r="B30" s="592" t="s">
        <v>227</v>
      </c>
      <c r="C30" s="574" t="s">
        <v>514</v>
      </c>
      <c r="D30" s="574" t="s">
        <v>271</v>
      </c>
      <c r="E30" s="574" t="s">
        <v>67</v>
      </c>
      <c r="F30" s="575" t="s">
        <v>515</v>
      </c>
    </row>
    <row r="31" spans="2:6">
      <c r="B31" s="593">
        <v>1</v>
      </c>
      <c r="C31" s="576" t="s">
        <v>516</v>
      </c>
      <c r="D31" s="655">
        <v>3</v>
      </c>
      <c r="E31" s="576" t="s">
        <v>517</v>
      </c>
      <c r="F31" s="578" t="s">
        <v>518</v>
      </c>
    </row>
    <row r="32" spans="2:6">
      <c r="B32" s="594">
        <v>2</v>
      </c>
      <c r="C32" s="579" t="s">
        <v>540</v>
      </c>
      <c r="D32" s="580">
        <v>40</v>
      </c>
      <c r="E32" s="579" t="s">
        <v>541</v>
      </c>
      <c r="F32" s="581" t="s">
        <v>518</v>
      </c>
    </row>
    <row r="33" spans="2:6">
      <c r="B33" s="594">
        <v>3</v>
      </c>
      <c r="C33" s="579" t="s">
        <v>542</v>
      </c>
      <c r="D33" s="580">
        <f>D32*D31</f>
        <v>120</v>
      </c>
      <c r="E33" s="579" t="s">
        <v>541</v>
      </c>
      <c r="F33" s="581"/>
    </row>
    <row r="34" spans="2:6">
      <c r="B34" s="594">
        <v>4</v>
      </c>
      <c r="C34" s="579" t="s">
        <v>550</v>
      </c>
      <c r="D34" s="580">
        <v>1</v>
      </c>
      <c r="E34" s="579" t="s">
        <v>235</v>
      </c>
      <c r="F34" s="581" t="s">
        <v>523</v>
      </c>
    </row>
    <row r="35" spans="2:6">
      <c r="B35" s="594">
        <v>5</v>
      </c>
      <c r="C35" s="579" t="s">
        <v>544</v>
      </c>
      <c r="D35" s="580">
        <v>0.81200000000000006</v>
      </c>
      <c r="E35" s="579" t="s">
        <v>545</v>
      </c>
      <c r="F35" s="581" t="s">
        <v>552</v>
      </c>
    </row>
    <row r="36" spans="2:6">
      <c r="B36" s="594">
        <v>6</v>
      </c>
      <c r="C36" s="579" t="s">
        <v>551</v>
      </c>
      <c r="D36" s="580">
        <f>D33*D34</f>
        <v>120</v>
      </c>
      <c r="E36" s="579" t="s">
        <v>235</v>
      </c>
      <c r="F36" s="581"/>
    </row>
    <row r="37" spans="2:6">
      <c r="B37" s="594">
        <v>7</v>
      </c>
      <c r="C37" s="579" t="s">
        <v>532</v>
      </c>
      <c r="D37" s="580">
        <f>D36*D35</f>
        <v>97.440000000000012</v>
      </c>
      <c r="E37" s="579" t="s">
        <v>533</v>
      </c>
      <c r="F37" s="581"/>
    </row>
    <row r="38" spans="2:6">
      <c r="B38" s="594">
        <v>8</v>
      </c>
      <c r="C38" s="579" t="s">
        <v>547</v>
      </c>
      <c r="D38" s="580">
        <v>7000</v>
      </c>
      <c r="E38" s="579" t="s">
        <v>548</v>
      </c>
      <c r="F38" s="581" t="s">
        <v>523</v>
      </c>
    </row>
    <row r="39" spans="2:6">
      <c r="B39" s="594">
        <v>9</v>
      </c>
      <c r="C39" s="579" t="s">
        <v>536</v>
      </c>
      <c r="D39" s="580">
        <f>D38*D33</f>
        <v>840000</v>
      </c>
      <c r="E39" s="579" t="s">
        <v>548</v>
      </c>
      <c r="F39" s="581"/>
    </row>
    <row r="40" spans="2:6" ht="15.75" thickBot="1">
      <c r="B40" s="595">
        <v>10</v>
      </c>
      <c r="C40" s="583" t="s">
        <v>538</v>
      </c>
      <c r="D40" s="584">
        <f>D38*D33/D37</f>
        <v>8620.689655172413</v>
      </c>
      <c r="E40" s="583" t="s">
        <v>539</v>
      </c>
      <c r="F40" s="585"/>
    </row>
    <row r="41" spans="2:6" ht="15.75" thickBot="1"/>
    <row r="42" spans="2:6" ht="15.75" thickBot="1">
      <c r="B42" s="1386" t="s">
        <v>256</v>
      </c>
      <c r="C42" s="1387"/>
      <c r="D42" s="1387"/>
      <c r="E42" s="1387"/>
      <c r="F42" s="1388"/>
    </row>
    <row r="43" spans="2:6">
      <c r="B43" s="592" t="s">
        <v>227</v>
      </c>
      <c r="C43" s="574" t="s">
        <v>514</v>
      </c>
      <c r="D43" s="574" t="s">
        <v>271</v>
      </c>
      <c r="E43" s="574" t="s">
        <v>67</v>
      </c>
      <c r="F43" s="575" t="s">
        <v>515</v>
      </c>
    </row>
    <row r="44" spans="2:6">
      <c r="B44" s="593">
        <v>1</v>
      </c>
      <c r="C44" s="576" t="s">
        <v>560</v>
      </c>
      <c r="D44" s="655">
        <v>2</v>
      </c>
      <c r="E44" s="576" t="s">
        <v>561</v>
      </c>
      <c r="F44" s="578" t="s">
        <v>571</v>
      </c>
    </row>
    <row r="45" spans="2:6" ht="25.5">
      <c r="B45" s="594">
        <v>2</v>
      </c>
      <c r="C45" s="614" t="s">
        <v>566</v>
      </c>
      <c r="D45" s="615">
        <v>3</v>
      </c>
      <c r="E45" s="614" t="s">
        <v>214</v>
      </c>
      <c r="F45" s="616" t="s">
        <v>572</v>
      </c>
    </row>
    <row r="46" spans="2:6">
      <c r="B46" s="594">
        <v>3</v>
      </c>
      <c r="C46" s="579" t="s">
        <v>562</v>
      </c>
      <c r="D46" s="580">
        <v>150</v>
      </c>
      <c r="E46" s="579" t="s">
        <v>520</v>
      </c>
      <c r="F46" s="581" t="s">
        <v>573</v>
      </c>
    </row>
    <row r="47" spans="2:6">
      <c r="B47" s="594">
        <v>4</v>
      </c>
      <c r="C47" s="579" t="s">
        <v>563</v>
      </c>
      <c r="D47" s="580">
        <f>'Ciepło_gosp. dom._2024'!C26</f>
        <v>0.6796244094049243</v>
      </c>
      <c r="E47" s="579" t="s">
        <v>564</v>
      </c>
      <c r="F47" s="581" t="s">
        <v>574</v>
      </c>
    </row>
    <row r="48" spans="2:6">
      <c r="B48" s="594">
        <v>5</v>
      </c>
      <c r="C48" s="579" t="s">
        <v>563</v>
      </c>
      <c r="D48" s="580">
        <f>D47*Działania_2020!P5</f>
        <v>0.18825596140516404</v>
      </c>
      <c r="E48" s="579" t="s">
        <v>565</v>
      </c>
      <c r="F48" s="581"/>
    </row>
    <row r="49" spans="2:6">
      <c r="B49" s="594">
        <v>6</v>
      </c>
      <c r="C49" s="579" t="s">
        <v>576</v>
      </c>
      <c r="D49" s="580">
        <f>(D46*D48)*D44</f>
        <v>56.476788421549209</v>
      </c>
      <c r="E49" s="579" t="s">
        <v>235</v>
      </c>
      <c r="F49" s="581"/>
    </row>
    <row r="50" spans="2:6">
      <c r="B50" s="594">
        <v>7</v>
      </c>
      <c r="C50" s="579" t="s">
        <v>544</v>
      </c>
      <c r="D50" s="580">
        <v>0.81200000000000006</v>
      </c>
      <c r="E50" s="579" t="s">
        <v>545</v>
      </c>
      <c r="F50" s="581" t="s">
        <v>552</v>
      </c>
    </row>
    <row r="51" spans="2:6">
      <c r="B51" s="594">
        <v>8</v>
      </c>
      <c r="C51" s="579" t="s">
        <v>546</v>
      </c>
      <c r="D51" s="580">
        <f>D45*D49</f>
        <v>169.43036526464763</v>
      </c>
      <c r="E51" s="579" t="s">
        <v>235</v>
      </c>
      <c r="F51" s="581"/>
    </row>
    <row r="52" spans="2:6">
      <c r="B52" s="594">
        <v>9</v>
      </c>
      <c r="C52" s="579" t="s">
        <v>575</v>
      </c>
      <c r="D52" s="580">
        <f>D51-D49</f>
        <v>112.95357684309843</v>
      </c>
      <c r="E52" s="579" t="s">
        <v>235</v>
      </c>
      <c r="F52" s="581"/>
    </row>
    <row r="53" spans="2:6">
      <c r="B53" s="594">
        <v>10</v>
      </c>
      <c r="C53" s="579" t="s">
        <v>532</v>
      </c>
      <c r="D53" s="580">
        <f>D49*D50</f>
        <v>45.859152198297963</v>
      </c>
      <c r="E53" s="579" t="s">
        <v>533</v>
      </c>
      <c r="F53" s="581"/>
    </row>
    <row r="54" spans="2:6">
      <c r="B54" s="594">
        <v>11</v>
      </c>
      <c r="C54" s="611" t="s">
        <v>569</v>
      </c>
      <c r="D54" s="612">
        <v>114660</v>
      </c>
      <c r="E54" s="611" t="s">
        <v>568</v>
      </c>
      <c r="F54" s="613" t="s">
        <v>570</v>
      </c>
    </row>
    <row r="55" spans="2:6" ht="15.75" thickBot="1">
      <c r="B55" s="595">
        <v>12</v>
      </c>
      <c r="C55" s="583" t="s">
        <v>567</v>
      </c>
      <c r="D55" s="584">
        <f>D54*D44</f>
        <v>229320</v>
      </c>
      <c r="E55" s="583" t="s">
        <v>537</v>
      </c>
      <c r="F55" s="585"/>
    </row>
    <row r="56" spans="2:6" ht="15.75" thickBot="1"/>
    <row r="57" spans="2:6" ht="15.75" thickBot="1">
      <c r="B57" s="1389" t="s">
        <v>577</v>
      </c>
      <c r="C57" s="1390"/>
      <c r="D57" s="1390"/>
      <c r="E57" s="1390"/>
      <c r="F57" s="1391"/>
    </row>
    <row r="58" spans="2:6" ht="15.75" thickBot="1">
      <c r="B58" s="620" t="s">
        <v>227</v>
      </c>
      <c r="C58" s="623" t="s">
        <v>514</v>
      </c>
      <c r="D58" s="623" t="s">
        <v>271</v>
      </c>
      <c r="E58" s="623" t="s">
        <v>67</v>
      </c>
      <c r="F58" s="624" t="s">
        <v>515</v>
      </c>
    </row>
    <row r="59" spans="2:6">
      <c r="B59" s="625">
        <v>1</v>
      </c>
      <c r="C59" s="626" t="s">
        <v>578</v>
      </c>
      <c r="D59" s="627">
        <f>Charakterystyka_2028!P28</f>
        <v>5566</v>
      </c>
      <c r="E59" s="628" t="s">
        <v>517</v>
      </c>
      <c r="F59" s="629" t="s">
        <v>579</v>
      </c>
    </row>
    <row r="60" spans="2:6">
      <c r="B60" s="621">
        <v>2</v>
      </c>
      <c r="C60" s="619" t="s">
        <v>580</v>
      </c>
      <c r="D60" s="617">
        <f>Charakterystyka_2028!P86</f>
        <v>73.74595759971254</v>
      </c>
      <c r="E60" s="579" t="s">
        <v>520</v>
      </c>
      <c r="F60" s="581" t="s">
        <v>579</v>
      </c>
    </row>
    <row r="61" spans="2:6">
      <c r="B61" s="621">
        <v>3</v>
      </c>
      <c r="C61" s="619" t="s">
        <v>581</v>
      </c>
      <c r="D61" s="580">
        <f>Charakterystyka_2028!P67</f>
        <v>410470</v>
      </c>
      <c r="E61" s="579" t="s">
        <v>520</v>
      </c>
      <c r="F61" s="581"/>
    </row>
    <row r="62" spans="2:6">
      <c r="B62" s="621">
        <v>4</v>
      </c>
      <c r="C62" s="619" t="s">
        <v>582</v>
      </c>
      <c r="D62" s="617">
        <f>'Ciepło_gosp. dom._2024'!C23</f>
        <v>253266.11391120145</v>
      </c>
      <c r="E62" s="579" t="s">
        <v>583</v>
      </c>
      <c r="F62" s="618" t="s">
        <v>584</v>
      </c>
    </row>
    <row r="63" spans="2:6">
      <c r="B63" s="621">
        <v>5</v>
      </c>
      <c r="C63" s="619" t="s">
        <v>582</v>
      </c>
      <c r="D63" s="582">
        <f>'Ciepło_gosp. dom._2024'!C26</f>
        <v>0.6796244094049243</v>
      </c>
      <c r="E63" s="579" t="s">
        <v>585</v>
      </c>
      <c r="F63" s="581"/>
    </row>
    <row r="64" spans="2:6">
      <c r="B64" s="621">
        <v>6</v>
      </c>
      <c r="C64" s="619" t="s">
        <v>586</v>
      </c>
      <c r="D64" s="580">
        <v>60</v>
      </c>
      <c r="E64" s="579" t="s">
        <v>517</v>
      </c>
      <c r="F64" s="581"/>
    </row>
    <row r="65" spans="2:6">
      <c r="B65" s="621">
        <v>7</v>
      </c>
      <c r="C65" s="619" t="s">
        <v>529</v>
      </c>
      <c r="D65" s="582">
        <f>Wskaźniki!C8</f>
        <v>9.4729999999999995E-2</v>
      </c>
      <c r="E65" s="579" t="s">
        <v>530</v>
      </c>
      <c r="F65" s="581" t="s">
        <v>531</v>
      </c>
    </row>
    <row r="66" spans="2:6">
      <c r="B66" s="621">
        <v>8</v>
      </c>
      <c r="C66" s="619" t="s">
        <v>532</v>
      </c>
      <c r="D66" s="580">
        <f>((D64*D63*D60)*D65)</f>
        <v>284.86951465766856</v>
      </c>
      <c r="E66" s="579" t="s">
        <v>533</v>
      </c>
      <c r="F66" s="581"/>
    </row>
    <row r="67" spans="2:6">
      <c r="B67" s="621">
        <v>9</v>
      </c>
      <c r="C67" s="619" t="s">
        <v>587</v>
      </c>
      <c r="D67" s="580">
        <v>8000</v>
      </c>
      <c r="E67" s="579" t="s">
        <v>588</v>
      </c>
      <c r="F67" s="581" t="s">
        <v>523</v>
      </c>
    </row>
    <row r="68" spans="2:6">
      <c r="B68" s="621">
        <v>10</v>
      </c>
      <c r="C68" s="619" t="s">
        <v>536</v>
      </c>
      <c r="D68" s="580">
        <f>D67*D64</f>
        <v>480000</v>
      </c>
      <c r="E68" s="579" t="s">
        <v>537</v>
      </c>
      <c r="F68" s="581"/>
    </row>
    <row r="69" spans="2:6" ht="15.75" thickBot="1">
      <c r="B69" s="622">
        <v>11</v>
      </c>
      <c r="C69" s="583" t="s">
        <v>538</v>
      </c>
      <c r="D69" s="584">
        <f>D68/D66</f>
        <v>1684.9819840386301</v>
      </c>
      <c r="E69" s="583" t="s">
        <v>539</v>
      </c>
      <c r="F69" s="585"/>
    </row>
  </sheetData>
  <mergeCells count="5">
    <mergeCell ref="B2:F2"/>
    <mergeCell ref="B16:F16"/>
    <mergeCell ref="B29:F29"/>
    <mergeCell ref="B42:F42"/>
    <mergeCell ref="B57:F5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P24"/>
  <sheetViews>
    <sheetView showGridLines="0" tabSelected="1" view="pageBreakPreview" topLeftCell="A10" zoomScaleSheetLayoutView="100" workbookViewId="0">
      <selection activeCell="I12" sqref="I12"/>
    </sheetView>
  </sheetViews>
  <sheetFormatPr defaultRowHeight="14.25"/>
  <cols>
    <col min="1" max="1" width="3" customWidth="1"/>
    <col min="2" max="2" width="26.5" customWidth="1"/>
    <col min="3" max="4" width="12.625" customWidth="1"/>
    <col min="5" max="5" width="15.875" customWidth="1"/>
    <col min="6" max="6" width="16.75" customWidth="1"/>
    <col min="7" max="7" width="15.5" customWidth="1"/>
    <col min="8" max="8" width="9.375" customWidth="1"/>
    <col min="9" max="9" width="9.25" customWidth="1"/>
    <col min="10" max="10" width="10.25" bestFit="1" customWidth="1"/>
  </cols>
  <sheetData>
    <row r="1" spans="2:16" ht="15.75" thickBot="1"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2:16" ht="15.75" thickBot="1">
      <c r="B2" s="1416" t="s">
        <v>307</v>
      </c>
      <c r="C2" s="1417"/>
      <c r="D2" s="1417"/>
      <c r="E2" s="1417"/>
      <c r="F2" s="1417"/>
      <c r="G2" s="1417"/>
      <c r="H2" s="1417"/>
      <c r="I2" s="1418"/>
      <c r="J2" s="165"/>
      <c r="K2" s="165"/>
      <c r="L2" s="165"/>
      <c r="M2" s="165"/>
      <c r="N2" s="165"/>
      <c r="O2" s="165"/>
      <c r="P2" s="165"/>
    </row>
    <row r="3" spans="2:16" ht="15.75" thickBot="1"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2:16" ht="39" thickBot="1">
      <c r="B4" s="165"/>
      <c r="C4" s="172" t="s">
        <v>225</v>
      </c>
      <c r="D4" s="173" t="s">
        <v>1019</v>
      </c>
      <c r="E4" s="264" t="s">
        <v>1002</v>
      </c>
      <c r="F4" s="265" t="s">
        <v>989</v>
      </c>
      <c r="G4" s="265" t="s">
        <v>1013</v>
      </c>
      <c r="H4" s="173" t="s">
        <v>308</v>
      </c>
      <c r="I4" s="173" t="s">
        <v>1015</v>
      </c>
      <c r="J4" s="165"/>
      <c r="K4" s="165"/>
      <c r="L4" s="165"/>
      <c r="M4" s="166"/>
      <c r="N4" s="166"/>
      <c r="O4" s="165"/>
      <c r="P4" s="167"/>
    </row>
    <row r="5" spans="2:16" ht="15">
      <c r="B5" s="266" t="s">
        <v>317</v>
      </c>
      <c r="C5" s="1458">
        <f>'Emisja CO2_2024'!R25</f>
        <v>56751.34784464039</v>
      </c>
      <c r="D5" s="170">
        <f>'Emisja CO2_2024'!R51</f>
        <v>64658.487427717453</v>
      </c>
      <c r="E5" s="1455">
        <f>'Emisja CO2_2024'!R77</f>
        <v>55913.958788977819</v>
      </c>
      <c r="F5" s="1455">
        <f>E5-Działania_2024!J45</f>
        <v>52892.94896709462</v>
      </c>
      <c r="G5" s="1014">
        <f>E5-Zrealizowane_do_2020!J27-'Zrealizowane_2020-2024'!J48-Działania_2024!J45</f>
        <v>46772.6082677019</v>
      </c>
      <c r="H5" s="169">
        <f>(C5-F5)/C5</f>
        <v>6.7987792785262582E-2</v>
      </c>
      <c r="I5" s="169">
        <f>(C5-G5)/C5</f>
        <v>0.17583264461411172</v>
      </c>
      <c r="J5" s="664"/>
      <c r="K5" s="165"/>
      <c r="L5" s="165"/>
      <c r="M5" s="166"/>
      <c r="N5" s="166"/>
      <c r="O5" s="165"/>
      <c r="P5" s="165"/>
    </row>
    <row r="6" spans="2:16" ht="15">
      <c r="B6" s="267" t="s">
        <v>316</v>
      </c>
      <c r="C6" s="1459">
        <f>'Końcowe zuż. energii_2024'!R22</f>
        <v>167186.56274319848</v>
      </c>
      <c r="D6" s="269">
        <f>'Końcowe zuż. energii_2024'!R41</f>
        <v>214751.12273903258</v>
      </c>
      <c r="E6" s="1456">
        <f>'Końcowe zuż. energii_2024'!R61</f>
        <v>188805.80979794997</v>
      </c>
      <c r="F6" s="1456">
        <f>E6-Działania_2024!I45</f>
        <v>180240.80301088429</v>
      </c>
      <c r="G6" s="1456">
        <f>F6-Zrealizowane_do_2020!I27-'Zrealizowane_2020-2024'!I48-Działania_2024!I45</f>
        <v>158359.33789480149</v>
      </c>
      <c r="H6" s="270">
        <f>(C6-F6)/C6</f>
        <v>-7.8081874843837551E-2</v>
      </c>
      <c r="I6" s="270">
        <f>(C6-G6)/C6</f>
        <v>5.2798650223796768E-2</v>
      </c>
      <c r="J6" s="664"/>
      <c r="K6" s="165"/>
      <c r="L6" s="165"/>
      <c r="M6" s="166"/>
      <c r="N6" s="166"/>
      <c r="O6" s="165"/>
      <c r="P6" s="167"/>
    </row>
    <row r="7" spans="2:16" ht="25.5">
      <c r="B7" s="267" t="s">
        <v>315</v>
      </c>
      <c r="C7" s="1459">
        <f>'Końcowe zuż. energii_2024'!O22</f>
        <v>5398.5884287839172</v>
      </c>
      <c r="D7" s="269">
        <f>'Końcowe zuż. energii_2024'!O41</f>
        <v>9583.2413846727395</v>
      </c>
      <c r="E7" s="1456">
        <f>'Końcowe zuż. energii_2024'!O61</f>
        <v>9995.081690813171</v>
      </c>
      <c r="F7" s="1456">
        <f>E7+Działania_2024!K45</f>
        <v>10521.111690813172</v>
      </c>
      <c r="G7" s="1456">
        <f>F7+Zrealizowane_do_2020!K27-'Zrealizowane_2020-2024'!K48-Działania_2024!K45</f>
        <v>8749.7855308131711</v>
      </c>
      <c r="H7" s="270">
        <f>F7/E6</f>
        <v>5.5724512408131463E-2</v>
      </c>
      <c r="I7" s="270">
        <f>G7/E6</f>
        <v>4.6342776952556335E-2</v>
      </c>
      <c r="J7" s="664"/>
      <c r="K7" s="165"/>
      <c r="L7" s="165"/>
      <c r="M7" s="166"/>
      <c r="N7" s="166"/>
      <c r="O7" s="165"/>
      <c r="P7" s="167"/>
    </row>
    <row r="8" spans="2:16" ht="39" thickBot="1">
      <c r="B8" s="268" t="s">
        <v>309</v>
      </c>
      <c r="C8" s="1460">
        <f>C7/C6</f>
        <v>3.2290803400726917E-2</v>
      </c>
      <c r="D8" s="987">
        <f>D7/D6</f>
        <v>4.462487209586502E-2</v>
      </c>
      <c r="E8" s="1457">
        <f>E7/E6</f>
        <v>5.2938422294893261E-2</v>
      </c>
      <c r="F8" s="1457">
        <f>F7/F6</f>
        <v>5.8372530054572762E-2</v>
      </c>
      <c r="G8" s="1457">
        <f>G7/G6</f>
        <v>5.5252728681056219E-2</v>
      </c>
      <c r="H8" s="271">
        <f>F8-C8</f>
        <v>2.6081726653845845E-2</v>
      </c>
      <c r="I8" s="271">
        <f>G8-C8</f>
        <v>2.2961925280329303E-2</v>
      </c>
      <c r="J8" s="165"/>
      <c r="K8" s="165"/>
      <c r="L8" s="165"/>
      <c r="M8" s="166"/>
      <c r="N8" s="166"/>
      <c r="O8" s="165"/>
      <c r="P8" s="167"/>
    </row>
    <row r="9" spans="2:16" ht="15.75" thickBot="1"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2:16" ht="15.75" thickBot="1">
      <c r="B10" s="1416" t="s">
        <v>310</v>
      </c>
      <c r="C10" s="1417"/>
      <c r="D10" s="1417"/>
      <c r="E10" s="1417"/>
      <c r="F10" s="1417"/>
      <c r="G10" s="1417"/>
      <c r="H10" s="1417"/>
      <c r="I10" s="1418"/>
      <c r="J10" s="165"/>
      <c r="K10" s="165"/>
      <c r="L10" s="165"/>
      <c r="M10" s="165"/>
      <c r="N10" s="165"/>
      <c r="O10" s="165"/>
      <c r="P10" s="165"/>
    </row>
    <row r="11" spans="2:16" ht="15" thickBot="1">
      <c r="G11" s="1015" t="s">
        <v>1023</v>
      </c>
      <c r="I11" s="631"/>
    </row>
    <row r="12" spans="2:16" s="171" customFormat="1" ht="15">
      <c r="B12" s="272" t="s">
        <v>314</v>
      </c>
      <c r="C12" s="273">
        <f>Działania_2024!J45</f>
        <v>3021.0098218831995</v>
      </c>
      <c r="F12" s="598"/>
      <c r="G12" s="1464">
        <f>Zrealizowane_do_2020!J27+'Zrealizowane_2020-2024'!J48</f>
        <v>6120.3406993927138</v>
      </c>
      <c r="H12" s="598"/>
      <c r="I12" s="1016">
        <f>C12*100/C5</f>
        <v>5.3232388949657423</v>
      </c>
      <c r="J12" s="168"/>
      <c r="K12" s="168"/>
      <c r="L12" s="168"/>
      <c r="M12" s="168"/>
      <c r="N12" s="168"/>
      <c r="O12" s="168"/>
      <c r="P12" s="168"/>
    </row>
    <row r="13" spans="2:16" s="171" customFormat="1" ht="25.5">
      <c r="B13" s="274" t="s">
        <v>313</v>
      </c>
      <c r="C13" s="275">
        <f>Działania_2024!I45</f>
        <v>8565.006787065684</v>
      </c>
      <c r="F13" s="598"/>
      <c r="G13" s="1464">
        <f>Zrealizowane_do_2020!I27+'Zrealizowane_2020-2024'!I48</f>
        <v>13316.458329017138</v>
      </c>
      <c r="H13" s="598"/>
      <c r="I13" s="1016">
        <f>C13*100/C6</f>
        <v>5.1230234335409399</v>
      </c>
      <c r="J13" s="168"/>
      <c r="K13" s="168"/>
      <c r="L13" s="168"/>
      <c r="M13" s="168"/>
      <c r="N13" s="168"/>
      <c r="O13" s="168"/>
      <c r="P13" s="168"/>
    </row>
    <row r="14" spans="2:16" s="171" customFormat="1" ht="26.25" thickBot="1">
      <c r="B14" s="276" t="s">
        <v>311</v>
      </c>
      <c r="C14" s="277">
        <f>Działania_2024!K45</f>
        <v>526.03</v>
      </c>
      <c r="F14" s="168"/>
      <c r="G14" s="1464">
        <f>Zrealizowane_do_2020!K27+'Zrealizowane_2020-2024'!K48</f>
        <v>1532.2038400000001</v>
      </c>
      <c r="H14" s="168"/>
      <c r="I14" s="1016">
        <f>C14*100/C7</f>
        <v>9.7438433571883376</v>
      </c>
    </row>
    <row r="15" spans="2:16">
      <c r="K15" t="s">
        <v>1014</v>
      </c>
    </row>
    <row r="16" spans="2:16" ht="15" thickBot="1"/>
    <row r="17" spans="2:8" ht="15" thickBot="1">
      <c r="B17" s="679"/>
      <c r="C17" s="680" t="s">
        <v>602</v>
      </c>
      <c r="D17" s="680"/>
      <c r="E17" s="681"/>
      <c r="F17" s="681"/>
      <c r="G17" s="682"/>
    </row>
    <row r="18" spans="2:8">
      <c r="B18" s="1025"/>
      <c r="C18" s="1026">
        <v>100</v>
      </c>
      <c r="D18" s="1026"/>
      <c r="E18" s="1027"/>
      <c r="F18" s="1027"/>
      <c r="G18" s="1028"/>
    </row>
    <row r="19" spans="2:8">
      <c r="B19" s="684"/>
      <c r="C19" s="1029" t="s">
        <v>43</v>
      </c>
      <c r="D19" s="1021">
        <v>96.8</v>
      </c>
      <c r="E19" s="1021">
        <v>3.0000000000000001E-5</v>
      </c>
      <c r="F19" s="1021">
        <v>8.9999999999999993E-3</v>
      </c>
      <c r="G19" s="683">
        <v>0.03</v>
      </c>
    </row>
    <row r="20" spans="2:8">
      <c r="B20" s="684"/>
      <c r="C20" s="1021"/>
      <c r="D20" s="1005" t="s">
        <v>603</v>
      </c>
      <c r="E20" s="1022" t="s">
        <v>604</v>
      </c>
      <c r="F20" s="1005" t="s">
        <v>605</v>
      </c>
      <c r="G20" s="1030" t="s">
        <v>1018</v>
      </c>
    </row>
    <row r="21" spans="2:8">
      <c r="B21" s="685" t="s">
        <v>606</v>
      </c>
      <c r="C21" s="1023">
        <f>D21*100/D19</f>
        <v>3120.8779151685949</v>
      </c>
      <c r="D21" s="1023">
        <f>C12</f>
        <v>3021.0098218831995</v>
      </c>
      <c r="E21" s="1002">
        <f>E19*C21/C18</f>
        <v>9.3626337455057838E-4</v>
      </c>
      <c r="F21" s="1003">
        <f>F19*C21/C18</f>
        <v>0.28087901236517349</v>
      </c>
      <c r="G21" s="1004">
        <f>SUM(G22:G23)</f>
        <v>0.71828407199999988</v>
      </c>
    </row>
    <row r="22" spans="2:8">
      <c r="B22" s="685" t="s">
        <v>607</v>
      </c>
      <c r="C22" s="1023">
        <f>D22*100/D19</f>
        <v>2243.4814049586776</v>
      </c>
      <c r="D22" s="1023">
        <f>Działania_2024!J9+Działania_2024!J10+Działania_2024!J11+Działania_2024!J12+Działania_2024!J13+Działania_2024!J14+Działania_2024!J15+Działania_2024!J16+Działania_2024!J17+Działania_2024!J18+Działania_2024!J25+Działania_2024!J26+Działania_2024!J27+Działania_2024!J28+Działania_2024!J29+Działania_2024!J30+Działania_2024!J31+Działania_2024!J32+Działania_2024!J33+Działania_2024!J38+Działania_2024!J39</f>
        <v>2171.6899999999996</v>
      </c>
      <c r="E22" s="1002">
        <f>E19*C22/C18</f>
        <v>6.7304442148760331E-4</v>
      </c>
      <c r="F22" s="1003">
        <f>F19*C22/C18</f>
        <v>0.20191332644628099</v>
      </c>
      <c r="G22" s="1004">
        <f>(D22*D19%)*G19%</f>
        <v>0.63065877599999987</v>
      </c>
    </row>
    <row r="23" spans="2:8" ht="15" thickBot="1">
      <c r="B23" s="1031" t="s">
        <v>608</v>
      </c>
      <c r="C23" s="1032">
        <f>D23*100/D19</f>
        <v>311.71487603305786</v>
      </c>
      <c r="D23" s="1032">
        <f>Działania_2024!J40+Działania_2024!J41+Działania_2024!J42+Działania_2024!J43+Działania_2024!J44</f>
        <v>301.74</v>
      </c>
      <c r="E23" s="1462">
        <f>E19*C23/C18</f>
        <v>9.3514462809917356E-5</v>
      </c>
      <c r="F23" s="1034">
        <f>F19*C23/C18</f>
        <v>2.8054338842975205E-2</v>
      </c>
      <c r="G23" s="1463">
        <f>(D23*D19%)*G19%</f>
        <v>8.7625295999999991E-2</v>
      </c>
    </row>
    <row r="24" spans="2:8" ht="15" thickBot="1">
      <c r="B24" s="665"/>
      <c r="C24" s="666"/>
      <c r="D24" s="666"/>
      <c r="E24" s="667"/>
      <c r="F24" s="668"/>
      <c r="G24" s="1461"/>
      <c r="H24" s="1006"/>
    </row>
  </sheetData>
  <mergeCells count="2">
    <mergeCell ref="B2:I2"/>
    <mergeCell ref="B10:I10"/>
  </mergeCells>
  <phoneticPr fontId="168" type="noConversion"/>
  <pageMargins left="0.7" right="0.7" top="0.75" bottom="0.75" header="0.3" footer="0.3"/>
  <pageSetup paperSize="9" scale="7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H14"/>
  <sheetViews>
    <sheetView workbookViewId="0">
      <selection activeCell="C12" sqref="C12:E14"/>
    </sheetView>
  </sheetViews>
  <sheetFormatPr defaultRowHeight="14.25"/>
  <cols>
    <col min="1" max="1" width="17.875" customWidth="1"/>
    <col min="4" max="4" width="10.5" customWidth="1"/>
    <col min="5" max="5" width="18.875" customWidth="1"/>
    <col min="6" max="6" width="11.75" customWidth="1"/>
  </cols>
  <sheetData>
    <row r="1" spans="1:8" ht="15" thickBot="1"/>
    <row r="2" spans="1:8" ht="15" thickBot="1">
      <c r="A2" s="1419" t="s">
        <v>620</v>
      </c>
      <c r="B2" s="1419"/>
      <c r="C2" s="1419"/>
      <c r="D2" s="1419"/>
      <c r="E2" s="1419"/>
      <c r="F2" s="1419"/>
    </row>
    <row r="3" spans="1:8" ht="15" thickBot="1">
      <c r="A3" s="1035"/>
      <c r="B3" s="1036"/>
      <c r="C3" s="1036"/>
      <c r="D3" s="1036"/>
      <c r="E3" s="1036"/>
      <c r="F3" s="1037"/>
    </row>
    <row r="4" spans="1:8" ht="39" thickBot="1">
      <c r="A4" s="1038" t="s">
        <v>614</v>
      </c>
      <c r="B4" s="1038" t="s">
        <v>67</v>
      </c>
      <c r="C4" s="1038">
        <v>2014</v>
      </c>
      <c r="D4" s="1038" t="s">
        <v>987</v>
      </c>
      <c r="E4" s="1038" t="s">
        <v>611</v>
      </c>
      <c r="F4" s="1038" t="s">
        <v>615</v>
      </c>
    </row>
    <row r="5" spans="1:8" ht="39" thickBot="1">
      <c r="A5" s="1039" t="s">
        <v>610</v>
      </c>
      <c r="B5" s="1040" t="s">
        <v>1027</v>
      </c>
      <c r="C5" s="1041">
        <f>'Emisja CO2_2024'!R14</f>
        <v>43692.550619694528</v>
      </c>
      <c r="D5" s="1041">
        <f>'Emisja CO2_2024'!R66-(Działania_2024!I45)+D12</f>
        <v>46551.512001912139</v>
      </c>
      <c r="E5" s="1041">
        <f>C5-D5</f>
        <v>-2858.9613822176107</v>
      </c>
      <c r="F5" s="1040" t="s">
        <v>616</v>
      </c>
    </row>
    <row r="6" spans="1:8" ht="15" thickBot="1">
      <c r="A6" s="1039" t="s">
        <v>621</v>
      </c>
      <c r="B6" s="1040" t="s">
        <v>235</v>
      </c>
      <c r="C6" s="1042">
        <f>'Końcowe zuż. energii_2024'!O41</f>
        <v>9583.2413846727395</v>
      </c>
      <c r="D6" s="1042">
        <f>'Końcowe zuż. energii_2024'!O61+Działania_2024!K45</f>
        <v>10521.111690813172</v>
      </c>
      <c r="E6" s="1042">
        <f>D6-C6</f>
        <v>937.87030614043215</v>
      </c>
      <c r="F6" s="1040" t="s">
        <v>619</v>
      </c>
      <c r="H6" s="134"/>
    </row>
    <row r="7" spans="1:8">
      <c r="A7" s="1043"/>
      <c r="B7" s="1043"/>
      <c r="C7" s="1043"/>
      <c r="D7" s="1043"/>
      <c r="E7" s="1043"/>
      <c r="F7" s="1043"/>
    </row>
    <row r="8" spans="1:8" ht="15" thickBot="1">
      <c r="A8" s="1043"/>
      <c r="B8" s="1043"/>
      <c r="C8" s="1043"/>
      <c r="D8" s="1043"/>
      <c r="E8" s="1043"/>
      <c r="F8" s="1043"/>
    </row>
    <row r="9" spans="1:8" ht="15" thickBot="1">
      <c r="A9" s="1419" t="s">
        <v>613</v>
      </c>
      <c r="B9" s="1419"/>
      <c r="C9" s="1419"/>
      <c r="D9" s="1419"/>
      <c r="E9" s="1419"/>
      <c r="F9" s="1419"/>
    </row>
    <row r="10" spans="1:8" ht="15" thickBot="1">
      <c r="A10" s="1035"/>
      <c r="B10" s="1036"/>
      <c r="C10" s="1036"/>
      <c r="D10" s="1036"/>
      <c r="E10" s="1036"/>
      <c r="F10" s="1037"/>
    </row>
    <row r="11" spans="1:8" ht="39" thickBot="1">
      <c r="A11" s="1038" t="s">
        <v>614</v>
      </c>
      <c r="B11" s="1038" t="s">
        <v>67</v>
      </c>
      <c r="C11" s="1038">
        <v>2014</v>
      </c>
      <c r="D11" s="1038" t="s">
        <v>987</v>
      </c>
      <c r="E11" s="1038" t="s">
        <v>611</v>
      </c>
      <c r="F11" s="1038" t="s">
        <v>615</v>
      </c>
    </row>
    <row r="12" spans="1:8" ht="39" thickBot="1">
      <c r="A12" s="1039" t="s">
        <v>612</v>
      </c>
      <c r="B12" s="1040" t="s">
        <v>1027</v>
      </c>
      <c r="C12" s="1041">
        <f>'Emisja CO2_2024'!R21</f>
        <v>13058.797224945862</v>
      </c>
      <c r="D12" s="1041">
        <f>'Emisja CO2_2024'!R73-(Działania_2024!J25+Działania_2024!J26+Działania_2024!J27+Działania_2024!J28+Działania_2024!J29+Działania_2024!J30+Działania_2024!J31+Działania_2024!J32+Działania_2024!J33)</f>
        <v>11553.286188557255</v>
      </c>
      <c r="E12" s="1041">
        <f>C12-D12</f>
        <v>1505.511036388607</v>
      </c>
      <c r="F12" s="1040" t="s">
        <v>616</v>
      </c>
    </row>
    <row r="13" spans="1:8" ht="26.25" thickBot="1">
      <c r="A13" s="1039" t="s">
        <v>988</v>
      </c>
      <c r="B13" s="1040" t="s">
        <v>235</v>
      </c>
      <c r="C13" s="1042">
        <f>'Końcowe zuż. energii_2024'!R40</f>
        <v>59478.192738085832</v>
      </c>
      <c r="D13" s="1041">
        <f>'Końcowe zuż. energii_2024'!R60-(Działania_2024!I25+Działania_2024!I26+Działania_2024!I27+Działania_2024!I28+Działania_2024!I29+Działania_2024!I30+Działania_2024!I31+Działania_2024!I32+Działania_2024!I33)</f>
        <v>44911.021917482962</v>
      </c>
      <c r="E13" s="1042">
        <f>C13-D13</f>
        <v>14567.170820602871</v>
      </c>
      <c r="F13" s="1044" t="s">
        <v>616</v>
      </c>
    </row>
    <row r="14" spans="1:8" ht="26.25" thickBot="1">
      <c r="A14" s="1039" t="s">
        <v>617</v>
      </c>
      <c r="B14" s="1040" t="s">
        <v>618</v>
      </c>
      <c r="C14" s="1040">
        <v>0</v>
      </c>
      <c r="D14" s="1040">
        <f>8.86+8.83</f>
        <v>17.689999999999998</v>
      </c>
      <c r="E14" s="1042">
        <f>C14-D14</f>
        <v>-17.689999999999998</v>
      </c>
      <c r="F14" s="1040" t="s">
        <v>619</v>
      </c>
    </row>
  </sheetData>
  <mergeCells count="2">
    <mergeCell ref="A2:F2"/>
    <mergeCell ref="A9:F9"/>
  </mergeCells>
  <pageMargins left="0.7" right="0.7" top="0.75" bottom="0.75" header="0.3" footer="0.3"/>
  <pageSetup paperSize="9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N13"/>
  <sheetViews>
    <sheetView showGridLines="0" workbookViewId="0">
      <selection activeCell="M15" sqref="M15"/>
    </sheetView>
  </sheetViews>
  <sheetFormatPr defaultRowHeight="14.25"/>
  <cols>
    <col min="4" max="4" width="18.25" customWidth="1"/>
  </cols>
  <sheetData>
    <row r="1" spans="2:14" ht="15.75" thickBot="1"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spans="2:14" ht="26.25">
      <c r="B2" s="1420" t="s">
        <v>394</v>
      </c>
      <c r="C2" s="1420" t="s">
        <v>395</v>
      </c>
      <c r="D2" s="1420" t="s">
        <v>396</v>
      </c>
      <c r="E2" s="1420" t="s">
        <v>397</v>
      </c>
      <c r="F2" s="1420" t="s">
        <v>398</v>
      </c>
      <c r="G2" s="1420" t="s">
        <v>399</v>
      </c>
      <c r="H2" s="1420" t="s">
        <v>400</v>
      </c>
      <c r="I2" s="1420" t="s">
        <v>401</v>
      </c>
      <c r="J2" s="1420" t="s">
        <v>402</v>
      </c>
      <c r="K2" s="1420" t="s">
        <v>403</v>
      </c>
      <c r="L2" s="291" t="s">
        <v>404</v>
      </c>
      <c r="M2" s="290" t="s">
        <v>405</v>
      </c>
      <c r="N2" s="1420" t="s">
        <v>406</v>
      </c>
    </row>
    <row r="3" spans="2:14" ht="26.25" thickBot="1">
      <c r="B3" s="1421"/>
      <c r="C3" s="1421"/>
      <c r="D3" s="1421"/>
      <c r="E3" s="1421"/>
      <c r="F3" s="1421"/>
      <c r="G3" s="1421"/>
      <c r="H3" s="1421"/>
      <c r="I3" s="1421"/>
      <c r="J3" s="1421"/>
      <c r="K3" s="1421"/>
      <c r="L3" s="292" t="s">
        <v>407</v>
      </c>
      <c r="M3" s="293" t="s">
        <v>408</v>
      </c>
      <c r="N3" s="1421"/>
    </row>
    <row r="4" spans="2:14">
      <c r="B4" s="1422" t="s">
        <v>409</v>
      </c>
      <c r="C4" s="1422" t="s">
        <v>410</v>
      </c>
      <c r="D4" s="1424" t="s">
        <v>411</v>
      </c>
      <c r="E4" s="1422" t="s">
        <v>412</v>
      </c>
      <c r="F4" s="1422" t="s">
        <v>413</v>
      </c>
      <c r="G4" s="1422" t="s">
        <v>414</v>
      </c>
      <c r="H4" s="1422" t="s">
        <v>415</v>
      </c>
      <c r="I4" s="1422" t="s">
        <v>416</v>
      </c>
      <c r="J4" s="1422" t="s">
        <v>417</v>
      </c>
      <c r="K4" s="1422" t="s">
        <v>418</v>
      </c>
      <c r="L4" s="1422" t="s">
        <v>419</v>
      </c>
      <c r="M4" s="1422" t="s">
        <v>420</v>
      </c>
      <c r="N4" s="294" t="s">
        <v>421</v>
      </c>
    </row>
    <row r="5" spans="2:14" ht="15" thickBot="1">
      <c r="B5" s="1423"/>
      <c r="C5" s="1423"/>
      <c r="D5" s="1425"/>
      <c r="E5" s="1423"/>
      <c r="F5" s="1423"/>
      <c r="G5" s="1423"/>
      <c r="H5" s="1423"/>
      <c r="I5" s="1423"/>
      <c r="J5" s="1423"/>
      <c r="K5" s="1423"/>
      <c r="L5" s="1423"/>
      <c r="M5" s="1423"/>
      <c r="N5" s="295" t="s">
        <v>422</v>
      </c>
    </row>
    <row r="6" spans="2:14" ht="15.75" thickBot="1">
      <c r="B6" s="296">
        <v>0.08</v>
      </c>
      <c r="C6" s="297">
        <v>26.2</v>
      </c>
      <c r="D6" s="298">
        <v>30</v>
      </c>
      <c r="E6" s="297">
        <v>252</v>
      </c>
      <c r="F6" s="299">
        <f>B6*C6*D6*E6</f>
        <v>15845.76</v>
      </c>
      <c r="G6" s="297">
        <v>0.755</v>
      </c>
      <c r="H6" s="297">
        <f>F6*G6</f>
        <v>11963.5488</v>
      </c>
      <c r="I6" s="297">
        <v>44.3</v>
      </c>
      <c r="J6" s="297">
        <f>I6/1000</f>
        <v>4.4299999999999999E-2</v>
      </c>
      <c r="K6" s="297">
        <f>H6*J6</f>
        <v>529.98521184000003</v>
      </c>
      <c r="L6" s="297">
        <v>69.3</v>
      </c>
      <c r="M6" s="297">
        <v>6.93E-2</v>
      </c>
      <c r="N6" s="301">
        <f>K6*M6</f>
        <v>36.727975180512004</v>
      </c>
    </row>
    <row r="8" spans="2:14" ht="15.75" thickBot="1"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</row>
    <row r="9" spans="2:14" ht="15">
      <c r="B9" s="1426" t="s">
        <v>423</v>
      </c>
      <c r="C9" s="302" t="s">
        <v>424</v>
      </c>
      <c r="D9" s="1428" t="s">
        <v>425</v>
      </c>
      <c r="E9" s="289"/>
      <c r="F9" s="289"/>
      <c r="G9" s="289"/>
      <c r="H9" s="289"/>
      <c r="I9" s="289"/>
      <c r="J9" s="289"/>
      <c r="K9" s="289"/>
      <c r="L9" s="289"/>
      <c r="M9" s="289"/>
      <c r="N9" s="289"/>
    </row>
    <row r="10" spans="2:14" ht="27.75" thickBot="1">
      <c r="B10" s="1427"/>
      <c r="C10" s="300" t="s">
        <v>426</v>
      </c>
      <c r="D10" s="1429"/>
      <c r="E10" s="289"/>
      <c r="F10" s="289"/>
      <c r="G10" s="289"/>
      <c r="H10" s="289"/>
      <c r="I10" s="289"/>
      <c r="J10" s="289"/>
      <c r="K10" s="289"/>
      <c r="L10" s="289"/>
      <c r="M10" s="289"/>
      <c r="N10" s="289"/>
    </row>
    <row r="11" spans="2:14" ht="15.75" thickBot="1">
      <c r="B11" s="303" t="s">
        <v>409</v>
      </c>
      <c r="C11" s="304" t="s">
        <v>410</v>
      </c>
      <c r="D11" s="306" t="s">
        <v>411</v>
      </c>
      <c r="E11" s="289"/>
      <c r="F11" s="289"/>
      <c r="G11" s="289"/>
      <c r="H11" s="289"/>
      <c r="I11" s="289"/>
      <c r="J11" s="289"/>
      <c r="K11" s="289"/>
      <c r="L11" s="289"/>
      <c r="M11" s="289"/>
      <c r="N11" s="289"/>
    </row>
    <row r="12" spans="2:14" ht="64.5" thickBot="1">
      <c r="B12" s="305" t="s">
        <v>427</v>
      </c>
      <c r="C12" s="300">
        <f>N6</f>
        <v>36.727975180512004</v>
      </c>
      <c r="D12" s="307">
        <f>K6*0.277</f>
        <v>146.80590367968003</v>
      </c>
      <c r="E12" s="289"/>
      <c r="F12" s="289"/>
      <c r="G12" s="289"/>
      <c r="H12" s="289"/>
      <c r="I12" s="289"/>
      <c r="J12" s="289"/>
      <c r="K12" s="289"/>
      <c r="L12" s="289"/>
      <c r="M12" s="289"/>
      <c r="N12" s="289"/>
    </row>
    <row r="13" spans="2:14" ht="15.75" thickBot="1">
      <c r="B13" s="305" t="s">
        <v>428</v>
      </c>
      <c r="C13" s="300">
        <f>SUM(C12)</f>
        <v>36.727975180512004</v>
      </c>
      <c r="D13" s="300">
        <f>SUM(D12)</f>
        <v>146.80590367968003</v>
      </c>
      <c r="E13" s="289"/>
      <c r="F13" s="289"/>
      <c r="G13" s="289"/>
      <c r="H13" s="289"/>
      <c r="I13" s="289"/>
      <c r="J13" s="289"/>
      <c r="K13" s="289"/>
      <c r="L13" s="289"/>
      <c r="M13" s="289"/>
      <c r="N13" s="289"/>
    </row>
  </sheetData>
  <mergeCells count="25">
    <mergeCell ref="C2:C3"/>
    <mergeCell ref="D2:D3"/>
    <mergeCell ref="J2:J3"/>
    <mergeCell ref="K2:K3"/>
    <mergeCell ref="B9:B10"/>
    <mergeCell ref="D9:D10"/>
    <mergeCell ref="I4:I5"/>
    <mergeCell ref="J4:J5"/>
    <mergeCell ref="K4:K5"/>
    <mergeCell ref="N2:N3"/>
    <mergeCell ref="B4:B5"/>
    <mergeCell ref="C4:C5"/>
    <mergeCell ref="D4:D5"/>
    <mergeCell ref="E4:E5"/>
    <mergeCell ref="F4:F5"/>
    <mergeCell ref="G4:G5"/>
    <mergeCell ref="H4:H5"/>
    <mergeCell ref="B2:B3"/>
    <mergeCell ref="E2:E3"/>
    <mergeCell ref="F2:F3"/>
    <mergeCell ref="G2:G3"/>
    <mergeCell ref="H2:H3"/>
    <mergeCell ref="I2:I3"/>
    <mergeCell ref="L4:L5"/>
    <mergeCell ref="M4:M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2:P31"/>
  <sheetViews>
    <sheetView showGridLines="0" topLeftCell="A16" zoomScale="85" zoomScaleNormal="85" workbookViewId="0">
      <selection activeCell="P20" sqref="P20"/>
    </sheetView>
  </sheetViews>
  <sheetFormatPr defaultRowHeight="15"/>
  <cols>
    <col min="1" max="1" width="4.25" style="135" customWidth="1"/>
    <col min="2" max="6" width="13.125" style="135" customWidth="1"/>
    <col min="7" max="7" width="12.625" style="135" customWidth="1"/>
    <col min="8" max="12" width="9" style="135"/>
    <col min="13" max="13" width="12.25" style="135" customWidth="1"/>
    <col min="14" max="14" width="9" style="135"/>
    <col min="15" max="15" width="10.75" style="135" customWidth="1"/>
    <col min="16" max="16" width="11.75" style="135" customWidth="1"/>
    <col min="17" max="16384" width="9" style="135"/>
  </cols>
  <sheetData>
    <row r="2" spans="2:16" ht="15.75" thickBot="1"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2:16" ht="102.75" thickBot="1">
      <c r="B3" s="1435" t="s">
        <v>429</v>
      </c>
      <c r="C3" s="308" t="s">
        <v>430</v>
      </c>
      <c r="D3" s="309" t="s">
        <v>431</v>
      </c>
      <c r="E3" s="309" t="s">
        <v>432</v>
      </c>
      <c r="F3" s="309" t="s">
        <v>433</v>
      </c>
      <c r="G3" s="349"/>
      <c r="H3" s="1434"/>
      <c r="I3" s="1434"/>
      <c r="J3" s="1434"/>
      <c r="K3" s="1434"/>
      <c r="L3" s="1434"/>
      <c r="M3" s="1434"/>
      <c r="N3" s="1434"/>
      <c r="O3" s="1434"/>
      <c r="P3" s="1434"/>
    </row>
    <row r="4" spans="2:16" ht="15.75" thickBot="1">
      <c r="B4" s="1436"/>
      <c r="C4" s="310" t="s">
        <v>409</v>
      </c>
      <c r="D4" s="311" t="s">
        <v>410</v>
      </c>
      <c r="E4" s="312" t="s">
        <v>434</v>
      </c>
      <c r="F4" s="311" t="s">
        <v>435</v>
      </c>
      <c r="G4" s="349"/>
      <c r="H4" s="349"/>
      <c r="I4" s="349"/>
      <c r="J4" s="349"/>
      <c r="K4" s="349"/>
      <c r="L4" s="349"/>
      <c r="M4" s="349"/>
      <c r="N4" s="349"/>
      <c r="O4" s="349"/>
      <c r="P4" s="349"/>
    </row>
    <row r="5" spans="2:16" ht="15.75" thickBot="1">
      <c r="B5" s="1437"/>
      <c r="C5" s="313">
        <v>100</v>
      </c>
      <c r="D5" s="314">
        <v>0.3</v>
      </c>
      <c r="E5" s="315">
        <v>30</v>
      </c>
      <c r="F5" s="316">
        <v>20</v>
      </c>
      <c r="G5" s="349"/>
      <c r="H5" s="349"/>
      <c r="I5" s="349"/>
      <c r="J5" s="349"/>
      <c r="K5" s="349"/>
      <c r="L5" s="349"/>
      <c r="M5" s="349"/>
      <c r="N5" s="349"/>
      <c r="O5" s="349"/>
      <c r="P5" s="349"/>
    </row>
    <row r="7" spans="2:16" ht="15.75" thickBot="1"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</row>
    <row r="8" spans="2:16" ht="36" customHeight="1">
      <c r="B8" s="1435" t="s">
        <v>429</v>
      </c>
      <c r="C8" s="1430" t="s">
        <v>394</v>
      </c>
      <c r="D8" s="317" t="s">
        <v>436</v>
      </c>
      <c r="E8" s="1430" t="s">
        <v>437</v>
      </c>
      <c r="F8" s="1430" t="s">
        <v>438</v>
      </c>
      <c r="G8" s="1430" t="s">
        <v>398</v>
      </c>
      <c r="H8" s="1430" t="s">
        <v>439</v>
      </c>
      <c r="I8" s="1430" t="s">
        <v>400</v>
      </c>
      <c r="J8" s="1430" t="s">
        <v>401</v>
      </c>
      <c r="K8" s="1430" t="s">
        <v>402</v>
      </c>
      <c r="L8" s="1430" t="s">
        <v>403</v>
      </c>
      <c r="M8" s="1430" t="s">
        <v>440</v>
      </c>
      <c r="N8" s="318" t="s">
        <v>452</v>
      </c>
      <c r="O8" s="319" t="s">
        <v>405</v>
      </c>
      <c r="P8" s="317" t="s">
        <v>424</v>
      </c>
    </row>
    <row r="9" spans="2:16" ht="15.75" thickBot="1">
      <c r="B9" s="1436"/>
      <c r="C9" s="1431"/>
      <c r="D9" s="320" t="s">
        <v>441</v>
      </c>
      <c r="E9" s="1431"/>
      <c r="F9" s="1431"/>
      <c r="G9" s="1431"/>
      <c r="H9" s="1431"/>
      <c r="I9" s="1431"/>
      <c r="J9" s="1431"/>
      <c r="K9" s="1431"/>
      <c r="L9" s="1431"/>
      <c r="M9" s="1431"/>
      <c r="N9" s="321" t="s">
        <v>407</v>
      </c>
      <c r="O9" s="322" t="s">
        <v>453</v>
      </c>
      <c r="P9" s="320" t="s">
        <v>454</v>
      </c>
    </row>
    <row r="10" spans="2:16" ht="15" customHeight="1" thickBot="1">
      <c r="B10" s="1436"/>
      <c r="C10" s="323" t="s">
        <v>409</v>
      </c>
      <c r="D10" s="311" t="s">
        <v>410</v>
      </c>
      <c r="E10" s="312" t="s">
        <v>411</v>
      </c>
      <c r="F10" s="311" t="s">
        <v>412</v>
      </c>
      <c r="G10" s="311" t="s">
        <v>413</v>
      </c>
      <c r="H10" s="311" t="s">
        <v>414</v>
      </c>
      <c r="I10" s="311" t="s">
        <v>415</v>
      </c>
      <c r="J10" s="311" t="s">
        <v>416</v>
      </c>
      <c r="K10" s="311" t="s">
        <v>417</v>
      </c>
      <c r="L10" s="311" t="s">
        <v>418</v>
      </c>
      <c r="M10" s="311" t="s">
        <v>442</v>
      </c>
      <c r="N10" s="311" t="s">
        <v>419</v>
      </c>
      <c r="O10" s="311" t="s">
        <v>420</v>
      </c>
      <c r="P10" s="311" t="s">
        <v>443</v>
      </c>
    </row>
    <row r="11" spans="2:16" ht="15.75" thickBot="1">
      <c r="B11" s="1437"/>
      <c r="C11" s="353">
        <v>0.08</v>
      </c>
      <c r="D11" s="354">
        <v>8.83</v>
      </c>
      <c r="E11" s="355">
        <f>F5</f>
        <v>20</v>
      </c>
      <c r="F11" s="354">
        <v>252</v>
      </c>
      <c r="G11" s="356">
        <f>C11*D11*E11*F11</f>
        <v>3560.2559999999999</v>
      </c>
      <c r="H11" s="354">
        <v>0.755</v>
      </c>
      <c r="I11" s="357">
        <f>G11*H11</f>
        <v>2687.9932799999997</v>
      </c>
      <c r="J11" s="354">
        <v>44.3</v>
      </c>
      <c r="K11" s="354">
        <v>4.4299999999999999E-2</v>
      </c>
      <c r="L11" s="357">
        <f>I11*K11</f>
        <v>119.07810230399998</v>
      </c>
      <c r="M11" s="357">
        <f>L11*0.277</f>
        <v>32.984634338207997</v>
      </c>
      <c r="N11" s="354">
        <v>69.3</v>
      </c>
      <c r="O11" s="354">
        <v>6.93E-2</v>
      </c>
      <c r="P11" s="358">
        <f>L11*O11</f>
        <v>8.2521124896671996</v>
      </c>
    </row>
    <row r="12" spans="2:16" ht="15.75" thickBot="1"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</row>
    <row r="13" spans="2:16" ht="84.75" thickBot="1">
      <c r="B13" s="1435" t="s">
        <v>444</v>
      </c>
      <c r="C13" s="325" t="s">
        <v>445</v>
      </c>
      <c r="D13" s="326" t="s">
        <v>431</v>
      </c>
      <c r="E13" s="326" t="s">
        <v>432</v>
      </c>
      <c r="F13" s="326" t="s">
        <v>433</v>
      </c>
      <c r="G13" s="349"/>
      <c r="H13" s="349"/>
      <c r="I13" s="349"/>
      <c r="J13" s="349"/>
      <c r="K13" s="349"/>
      <c r="L13" s="349"/>
      <c r="M13" s="349"/>
      <c r="N13" s="349"/>
      <c r="O13" s="349"/>
      <c r="P13" s="349"/>
    </row>
    <row r="14" spans="2:16" ht="15.75" thickBot="1">
      <c r="B14" s="1436"/>
      <c r="C14" s="310" t="s">
        <v>409</v>
      </c>
      <c r="D14" s="311" t="s">
        <v>410</v>
      </c>
      <c r="E14" s="312" t="s">
        <v>446</v>
      </c>
      <c r="F14" s="311" t="s">
        <v>435</v>
      </c>
      <c r="G14" s="349"/>
      <c r="H14" s="349"/>
      <c r="I14" s="349"/>
      <c r="J14" s="349"/>
      <c r="K14" s="349"/>
      <c r="L14" s="349"/>
      <c r="M14" s="349"/>
      <c r="N14" s="349"/>
      <c r="O14" s="349"/>
      <c r="P14" s="349"/>
    </row>
    <row r="15" spans="2:16" ht="15.75" thickBot="1">
      <c r="B15" s="1437"/>
      <c r="C15" s="327">
        <v>100</v>
      </c>
      <c r="D15" s="328">
        <v>0.3</v>
      </c>
      <c r="E15" s="329">
        <v>30</v>
      </c>
      <c r="F15" s="324">
        <v>20</v>
      </c>
      <c r="G15" s="349"/>
      <c r="H15" s="349"/>
      <c r="I15" s="349"/>
      <c r="J15" s="349"/>
      <c r="K15" s="349"/>
      <c r="L15" s="349"/>
      <c r="M15" s="349"/>
      <c r="N15" s="349"/>
      <c r="O15" s="349"/>
      <c r="P15" s="349"/>
    </row>
    <row r="16" spans="2:16" ht="15.75" thickBot="1"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</row>
    <row r="17" spans="2:16" ht="36">
      <c r="B17" s="1440" t="s">
        <v>444</v>
      </c>
      <c r="C17" s="1430" t="s">
        <v>394</v>
      </c>
      <c r="D17" s="317" t="s">
        <v>436</v>
      </c>
      <c r="E17" s="1430" t="s">
        <v>437</v>
      </c>
      <c r="F17" s="1430" t="s">
        <v>438</v>
      </c>
      <c r="G17" s="1430" t="s">
        <v>398</v>
      </c>
      <c r="H17" s="1430" t="s">
        <v>439</v>
      </c>
      <c r="I17" s="1430" t="s">
        <v>400</v>
      </c>
      <c r="J17" s="1430" t="s">
        <v>401</v>
      </c>
      <c r="K17" s="1430" t="s">
        <v>402</v>
      </c>
      <c r="L17" s="1430" t="s">
        <v>403</v>
      </c>
      <c r="M17" s="318" t="s">
        <v>440</v>
      </c>
      <c r="N17" s="318" t="s">
        <v>391</v>
      </c>
      <c r="O17" s="319" t="s">
        <v>405</v>
      </c>
      <c r="P17" s="1430" t="s">
        <v>424</v>
      </c>
    </row>
    <row r="18" spans="2:16" ht="15.75" thickBot="1">
      <c r="B18" s="1441"/>
      <c r="C18" s="1431"/>
      <c r="D18" s="320" t="s">
        <v>441</v>
      </c>
      <c r="E18" s="1431"/>
      <c r="F18" s="1431"/>
      <c r="G18" s="1431"/>
      <c r="H18" s="1431"/>
      <c r="I18" s="1431"/>
      <c r="J18" s="1431"/>
      <c r="K18" s="1431"/>
      <c r="L18" s="1431"/>
      <c r="M18" s="321"/>
      <c r="N18" s="321" t="s">
        <v>407</v>
      </c>
      <c r="O18" s="322" t="s">
        <v>447</v>
      </c>
      <c r="P18" s="1431" t="s">
        <v>448</v>
      </c>
    </row>
    <row r="19" spans="2:16" ht="24.75" thickBot="1">
      <c r="B19" s="1441"/>
      <c r="C19" s="322" t="s">
        <v>409</v>
      </c>
      <c r="D19" s="320" t="s">
        <v>410</v>
      </c>
      <c r="E19" s="320" t="s">
        <v>411</v>
      </c>
      <c r="F19" s="320" t="s">
        <v>412</v>
      </c>
      <c r="G19" s="320" t="s">
        <v>413</v>
      </c>
      <c r="H19" s="320" t="s">
        <v>414</v>
      </c>
      <c r="I19" s="320" t="s">
        <v>415</v>
      </c>
      <c r="J19" s="320" t="s">
        <v>416</v>
      </c>
      <c r="K19" s="320" t="s">
        <v>417</v>
      </c>
      <c r="L19" s="320" t="s">
        <v>418</v>
      </c>
      <c r="M19" s="330" t="s">
        <v>442</v>
      </c>
      <c r="N19" s="325" t="s">
        <v>419</v>
      </c>
      <c r="O19" s="325" t="s">
        <v>420</v>
      </c>
      <c r="P19" s="320" t="s">
        <v>443</v>
      </c>
    </row>
    <row r="20" spans="2:16" ht="15.75" thickBot="1">
      <c r="B20" s="1442"/>
      <c r="C20" s="331">
        <v>0.08</v>
      </c>
      <c r="D20" s="332">
        <v>8.86</v>
      </c>
      <c r="E20" s="332">
        <f>F15</f>
        <v>20</v>
      </c>
      <c r="F20" s="332">
        <v>114</v>
      </c>
      <c r="G20" s="332">
        <f>C20*D20*E20*F20</f>
        <v>1616.0640000000001</v>
      </c>
      <c r="H20" s="333">
        <v>0.755</v>
      </c>
      <c r="I20" s="332">
        <f>G20*H20</f>
        <v>1220.12832</v>
      </c>
      <c r="J20" s="334">
        <v>44.3</v>
      </c>
      <c r="K20" s="335">
        <v>4.4299999999999999E-2</v>
      </c>
      <c r="L20" s="332">
        <f>I20*K20</f>
        <v>54.051684576</v>
      </c>
      <c r="M20" s="336">
        <f>L20*0.277</f>
        <v>14.972316627552001</v>
      </c>
      <c r="N20" s="337">
        <v>69.3</v>
      </c>
      <c r="O20" s="359">
        <v>6.93E-2</v>
      </c>
      <c r="P20" s="332">
        <f>L20*O20</f>
        <v>3.7457817411168</v>
      </c>
    </row>
    <row r="21" spans="2:16" ht="15.75" thickBot="1">
      <c r="B21" s="350"/>
      <c r="C21" s="345"/>
      <c r="D21" s="346"/>
      <c r="E21" s="338"/>
      <c r="F21" s="345"/>
      <c r="G21" s="347"/>
      <c r="H21" s="345"/>
      <c r="I21" s="345"/>
      <c r="J21" s="345"/>
      <c r="K21" s="345"/>
      <c r="L21" s="348"/>
      <c r="M21" s="348"/>
      <c r="N21" s="345"/>
      <c r="O21" s="345"/>
      <c r="P21" s="345"/>
    </row>
    <row r="22" spans="2:16">
      <c r="B22" s="1432" t="s">
        <v>449</v>
      </c>
      <c r="C22" s="339" t="s">
        <v>424</v>
      </c>
      <c r="D22" s="1438" t="s">
        <v>425</v>
      </c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</row>
    <row r="23" spans="2:16" ht="15.75" thickBot="1">
      <c r="B23" s="1433"/>
      <c r="C23" s="340" t="s">
        <v>455</v>
      </c>
      <c r="D23" s="143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</row>
    <row r="24" spans="2:16" ht="15.75" thickBot="1">
      <c r="B24" s="341" t="s">
        <v>409</v>
      </c>
      <c r="C24" s="342" t="s">
        <v>410</v>
      </c>
      <c r="D24" s="351" t="s">
        <v>411</v>
      </c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</row>
    <row r="25" spans="2:16" ht="15.75" thickBot="1">
      <c r="B25" s="343" t="s">
        <v>429</v>
      </c>
      <c r="C25" s="344">
        <f>P11</f>
        <v>8.2521124896671996</v>
      </c>
      <c r="D25" s="352">
        <f>M11</f>
        <v>32.984634338207997</v>
      </c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</row>
    <row r="26" spans="2:16" ht="26.25" thickBot="1">
      <c r="B26" s="343" t="s">
        <v>450</v>
      </c>
      <c r="C26" s="344">
        <f>P20</f>
        <v>3.7457817411168</v>
      </c>
      <c r="D26" s="352">
        <f>M20</f>
        <v>14.972316627552001</v>
      </c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</row>
    <row r="27" spans="2:16" ht="15.75" thickBot="1">
      <c r="B27" s="340" t="s">
        <v>428</v>
      </c>
      <c r="C27" s="344">
        <f>SUM(C25:C26)</f>
        <v>11.997894230783999</v>
      </c>
      <c r="D27" s="344">
        <f>SUM(D25:D26)</f>
        <v>47.956950965760001</v>
      </c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</row>
    <row r="28" spans="2:16" ht="15.75" thickBot="1"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</row>
    <row r="29" spans="2:16">
      <c r="B29" s="1443" t="s">
        <v>451</v>
      </c>
      <c r="C29" s="1444"/>
      <c r="D29" s="1444"/>
      <c r="E29" s="1444"/>
      <c r="F29" s="1444"/>
      <c r="G29" s="1444"/>
      <c r="H29" s="1444"/>
      <c r="I29" s="1444"/>
      <c r="J29" s="1444"/>
      <c r="K29" s="1444"/>
      <c r="L29" s="1444"/>
      <c r="M29" s="1444"/>
      <c r="N29" s="1445"/>
      <c r="O29" s="349"/>
      <c r="P29" s="349"/>
    </row>
    <row r="30" spans="2:16">
      <c r="B30" s="1446"/>
      <c r="C30" s="1447"/>
      <c r="D30" s="1447"/>
      <c r="E30" s="1447"/>
      <c r="F30" s="1447"/>
      <c r="G30" s="1447"/>
      <c r="H30" s="1447"/>
      <c r="I30" s="1447"/>
      <c r="J30" s="1447"/>
      <c r="K30" s="1447"/>
      <c r="L30" s="1447"/>
      <c r="M30" s="1447"/>
      <c r="N30" s="1448"/>
      <c r="O30" s="349"/>
      <c r="P30" s="349"/>
    </row>
    <row r="31" spans="2:16" ht="15.75" thickBot="1">
      <c r="B31" s="1449"/>
      <c r="C31" s="1450"/>
      <c r="D31" s="1450"/>
      <c r="E31" s="1450"/>
      <c r="F31" s="1450"/>
      <c r="G31" s="1450"/>
      <c r="H31" s="1450"/>
      <c r="I31" s="1450"/>
      <c r="J31" s="1450"/>
      <c r="K31" s="1450"/>
      <c r="L31" s="1450"/>
      <c r="M31" s="1450"/>
      <c r="N31" s="1451"/>
      <c r="O31" s="349"/>
      <c r="P31" s="349"/>
    </row>
  </sheetData>
  <mergeCells count="28">
    <mergeCell ref="B29:N31"/>
    <mergeCell ref="J8:J9"/>
    <mergeCell ref="K8:K9"/>
    <mergeCell ref="L8:L9"/>
    <mergeCell ref="C17:C18"/>
    <mergeCell ref="E17:E18"/>
    <mergeCell ref="F17:F18"/>
    <mergeCell ref="G17:G18"/>
    <mergeCell ref="H17:H18"/>
    <mergeCell ref="I17:I18"/>
    <mergeCell ref="J17:J18"/>
    <mergeCell ref="C8:C9"/>
    <mergeCell ref="E8:E9"/>
    <mergeCell ref="F8:F9"/>
    <mergeCell ref="G8:G9"/>
    <mergeCell ref="H8:H9"/>
    <mergeCell ref="K17:K18"/>
    <mergeCell ref="L17:L18"/>
    <mergeCell ref="P17:P18"/>
    <mergeCell ref="B22:B23"/>
    <mergeCell ref="H3:P3"/>
    <mergeCell ref="I8:I9"/>
    <mergeCell ref="M8:M9"/>
    <mergeCell ref="B3:B5"/>
    <mergeCell ref="B13:B15"/>
    <mergeCell ref="D22:D23"/>
    <mergeCell ref="B8:B11"/>
    <mergeCell ref="B17:B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1:R21"/>
  <sheetViews>
    <sheetView showGridLines="0" view="pageBreakPreview" topLeftCell="A7" zoomScale="90" zoomScaleSheetLayoutView="90" workbookViewId="0">
      <selection activeCell="D20" sqref="D20"/>
    </sheetView>
  </sheetViews>
  <sheetFormatPr defaultRowHeight="15"/>
  <cols>
    <col min="1" max="1" width="2.5" style="6" customWidth="1"/>
    <col min="2" max="2" width="26" style="6" customWidth="1"/>
    <col min="3" max="3" width="11.875" style="6" customWidth="1"/>
    <col min="4" max="4" width="13.5" style="6" bestFit="1" customWidth="1"/>
    <col min="5" max="5" width="15.625" style="6" customWidth="1"/>
    <col min="6" max="6" width="13.5" style="6" bestFit="1" customWidth="1"/>
    <col min="7" max="7" width="2.5" style="6" customWidth="1"/>
    <col min="8" max="8" width="9.125" style="6" bestFit="1" customWidth="1"/>
    <col min="9" max="9" width="12.75" style="6" customWidth="1"/>
    <col min="10" max="10" width="13.75" style="6" customWidth="1"/>
    <col min="11" max="11" width="18" style="6" customWidth="1"/>
    <col min="12" max="12" width="13.5" style="6" bestFit="1" customWidth="1"/>
    <col min="13" max="13" width="9" style="6" customWidth="1"/>
    <col min="14" max="14" width="11.625" style="6" customWidth="1"/>
    <col min="15" max="15" width="9" style="6" customWidth="1"/>
    <col min="16" max="18" width="11.625" style="6" customWidth="1"/>
    <col min="19" max="19" width="9" style="6" customWidth="1"/>
    <col min="20" max="16384" width="9" style="6"/>
  </cols>
  <sheetData>
    <row r="1" spans="2:18" s="9" customFormat="1" ht="15" customHeight="1" thickBot="1"/>
    <row r="2" spans="2:18" s="9" customFormat="1" ht="19.5" thickBot="1">
      <c r="B2" s="10" t="s">
        <v>10</v>
      </c>
      <c r="C2" s="11"/>
      <c r="D2" s="11"/>
      <c r="E2" s="11"/>
      <c r="F2" s="11"/>
      <c r="G2" s="11"/>
      <c r="H2" s="11"/>
      <c r="I2" s="11"/>
      <c r="J2" s="11"/>
      <c r="K2" s="12"/>
    </row>
    <row r="3" spans="2:18" s="9" customFormat="1" ht="15" customHeight="1"/>
    <row r="4" spans="2:18" ht="15.75" thickBot="1">
      <c r="N4" s="13"/>
      <c r="P4" s="13"/>
      <c r="Q4" s="13"/>
      <c r="R4" s="13"/>
    </row>
    <row r="5" spans="2:18" ht="15.75" thickBot="1">
      <c r="B5" s="87" t="s">
        <v>89</v>
      </c>
      <c r="N5" s="13"/>
    </row>
    <row r="6" spans="2:18" ht="33.75" thickBot="1">
      <c r="B6" s="368" t="s">
        <v>4</v>
      </c>
      <c r="C6" s="369" t="s">
        <v>5</v>
      </c>
      <c r="D6" s="369" t="s">
        <v>6</v>
      </c>
      <c r="E6" s="370" t="s">
        <v>7</v>
      </c>
      <c r="F6" s="371" t="s">
        <v>8</v>
      </c>
      <c r="N6" s="13"/>
    </row>
    <row r="7" spans="2:18" ht="15.75" thickBot="1">
      <c r="B7" s="374" t="s">
        <v>383</v>
      </c>
      <c r="C7" s="375">
        <v>11</v>
      </c>
      <c r="D7" s="376">
        <v>5153.6499999999996</v>
      </c>
      <c r="E7" s="91">
        <f>Wskaźniki!$C$7</f>
        <v>0.81200000000000006</v>
      </c>
      <c r="F7" s="377">
        <f>E7*D7</f>
        <v>4184.7637999999997</v>
      </c>
      <c r="K7" s="13"/>
      <c r="N7" s="13"/>
    </row>
    <row r="8" spans="2:18" ht="15.75" thickBot="1">
      <c r="B8" s="378" t="s">
        <v>386</v>
      </c>
      <c r="C8" s="372">
        <v>429</v>
      </c>
      <c r="D8" s="373">
        <v>10353.9</v>
      </c>
      <c r="E8" s="91">
        <f>Wskaźniki!$C$7</f>
        <v>0.81200000000000006</v>
      </c>
      <c r="F8" s="379">
        <f>E8*D8</f>
        <v>8407.3667999999998</v>
      </c>
      <c r="K8" s="13"/>
      <c r="N8" s="13"/>
    </row>
    <row r="9" spans="2:18" ht="15.75" thickBot="1">
      <c r="B9" s="378" t="s">
        <v>312</v>
      </c>
      <c r="C9" s="372">
        <v>5303</v>
      </c>
      <c r="D9" s="373">
        <v>9189.08</v>
      </c>
      <c r="E9" s="91">
        <f>Wskaźniki!$C$7</f>
        <v>0.81200000000000006</v>
      </c>
      <c r="F9" s="379">
        <f>E9*D9</f>
        <v>7461.5329600000005</v>
      </c>
      <c r="K9" s="13"/>
      <c r="N9" s="13"/>
    </row>
    <row r="10" spans="2:18" ht="15.75" thickBot="1">
      <c r="B10" s="378" t="s">
        <v>382</v>
      </c>
      <c r="C10" s="372">
        <v>8</v>
      </c>
      <c r="D10" s="373">
        <f>'Budynki komunalne_2014'!N3</f>
        <v>292.51</v>
      </c>
      <c r="E10" s="91">
        <f>Wskaźniki!$C$7</f>
        <v>0.81200000000000006</v>
      </c>
      <c r="F10" s="379">
        <f>D10*E10</f>
        <v>237.51812000000001</v>
      </c>
      <c r="K10" s="13"/>
      <c r="N10" s="13"/>
    </row>
    <row r="11" spans="2:18" ht="15.75" thickBot="1">
      <c r="B11" s="380" t="s">
        <v>389</v>
      </c>
      <c r="C11" s="385" t="s">
        <v>90</v>
      </c>
      <c r="D11" s="381">
        <f>'Oświetlenie komunalne_2020'!B6</f>
        <v>1282</v>
      </c>
      <c r="E11" s="91">
        <f>Wskaźniki!$C$7</f>
        <v>0.81200000000000006</v>
      </c>
      <c r="F11" s="379">
        <f>D11*E11</f>
        <v>1040.9840000000002</v>
      </c>
      <c r="K11" s="13"/>
      <c r="N11" s="13"/>
    </row>
    <row r="12" spans="2:18" ht="15.75" thickBot="1">
      <c r="B12" s="14"/>
      <c r="C12" s="14"/>
      <c r="D12" s="8">
        <f>SUM(D7:D11)</f>
        <v>26271.139999999996</v>
      </c>
      <c r="E12" s="16"/>
      <c r="F12" s="8">
        <f>SUM(F7:F11)</f>
        <v>21332.165680000002</v>
      </c>
      <c r="G12" s="13"/>
      <c r="K12" s="13"/>
    </row>
    <row r="13" spans="2:18" ht="15.75" thickBot="1">
      <c r="B13" s="4"/>
      <c r="C13" s="5"/>
      <c r="D13" s="13"/>
      <c r="E13" s="15"/>
      <c r="F13" s="13"/>
    </row>
    <row r="14" spans="2:18" ht="15.75" thickBot="1">
      <c r="B14" s="1078" t="s">
        <v>63</v>
      </c>
      <c r="C14" s="1079"/>
    </row>
    <row r="15" spans="2:18" ht="33.75" thickBot="1">
      <c r="B15" s="368" t="s">
        <v>4</v>
      </c>
      <c r="C15" s="369" t="s">
        <v>5</v>
      </c>
      <c r="D15" s="369" t="s">
        <v>6</v>
      </c>
      <c r="E15" s="370" t="s">
        <v>7</v>
      </c>
      <c r="F15" s="371" t="s">
        <v>8</v>
      </c>
    </row>
    <row r="16" spans="2:18" ht="15.75" thickBot="1">
      <c r="B16" s="374" t="str">
        <f>B7</f>
        <v>Przemysł</v>
      </c>
      <c r="C16" s="383">
        <v>0</v>
      </c>
      <c r="D16" s="376">
        <f>(D7/Charakterystyka_2020!L9)*Charakterystyka_2020!AI9</f>
        <v>5093.06973131822</v>
      </c>
      <c r="E16" s="91">
        <f>Wskaźniki!$C$7</f>
        <v>0.81200000000000006</v>
      </c>
      <c r="F16" s="377">
        <f>E16*D16</f>
        <v>4135.5726218303953</v>
      </c>
    </row>
    <row r="17" spans="2:6" s="17" customFormat="1" ht="15.75" thickBot="1">
      <c r="B17" s="378" t="str">
        <f>B8</f>
        <v>Budynki niekomunalne</v>
      </c>
      <c r="C17" s="382">
        <v>0</v>
      </c>
      <c r="D17" s="373">
        <f>(D8/Charakterystyka_2020!L9)*Charakterystyka_2020!AI9</f>
        <v>10232.191687657431</v>
      </c>
      <c r="E17" s="91">
        <f>Wskaźniki!$C$7</f>
        <v>0.81200000000000006</v>
      </c>
      <c r="F17" s="379">
        <f>E17*D17</f>
        <v>8308.5396503778338</v>
      </c>
    </row>
    <row r="18" spans="2:6" ht="15.75" thickBot="1">
      <c r="B18" s="378" t="str">
        <f>B9</f>
        <v>Budynki mieszkalne</v>
      </c>
      <c r="C18" s="382">
        <v>0</v>
      </c>
      <c r="D18" s="373">
        <f>(D9/Charakterystyka_2020!L9)*Charakterystyka_2020!AI9</f>
        <v>9081.0639462636445</v>
      </c>
      <c r="E18" s="91">
        <f>Wskaźniki!$C$7</f>
        <v>0.81200000000000006</v>
      </c>
      <c r="F18" s="379">
        <f>E18*D18</f>
        <v>7373.8239243660801</v>
      </c>
    </row>
    <row r="19" spans="2:6" ht="15.75" thickBot="1">
      <c r="B19" s="378" t="str">
        <f>B10</f>
        <v>Budynki komunalne</v>
      </c>
      <c r="C19" s="382"/>
      <c r="D19" s="373">
        <f>'Budynki komunalne_2014'!N3</f>
        <v>292.51</v>
      </c>
      <c r="E19" s="91">
        <f>Wskaźniki!$C$7</f>
        <v>0.81200000000000006</v>
      </c>
      <c r="F19" s="379">
        <f>E19*D19</f>
        <v>237.51812000000001</v>
      </c>
    </row>
    <row r="20" spans="2:6" ht="15.75" thickBot="1">
      <c r="B20" s="380" t="str">
        <f>B11</f>
        <v>Komunalne oświetlenie publiczne</v>
      </c>
      <c r="C20" s="384"/>
      <c r="D20" s="381">
        <f>'Oświetlenie komunalne_2020'!B13</f>
        <v>1282</v>
      </c>
      <c r="E20" s="91">
        <f>Wskaźniki!$C$7</f>
        <v>0.81200000000000006</v>
      </c>
      <c r="F20" s="379">
        <f>E20*D20</f>
        <v>1040.9840000000002</v>
      </c>
    </row>
    <row r="21" spans="2:6" ht="15.75" thickBot="1">
      <c r="B21" s="14"/>
      <c r="C21" s="14"/>
      <c r="D21" s="8">
        <f>SUM(D16:D20)</f>
        <v>25980.835365239294</v>
      </c>
      <c r="E21" s="16"/>
      <c r="F21" s="8">
        <f>SUM(F16:F20)</f>
        <v>21096.438316574309</v>
      </c>
    </row>
  </sheetData>
  <mergeCells count="1">
    <mergeCell ref="B14:C1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B1:R28"/>
  <sheetViews>
    <sheetView showGridLines="0" view="pageBreakPreview" topLeftCell="A10" zoomScale="90" zoomScaleSheetLayoutView="90" workbookViewId="0">
      <selection activeCell="F23" sqref="F23:F27"/>
    </sheetView>
  </sheetViews>
  <sheetFormatPr defaultRowHeight="15"/>
  <cols>
    <col min="1" max="1" width="2.5" style="6" customWidth="1"/>
    <col min="2" max="2" width="26" style="6" customWidth="1"/>
    <col min="3" max="3" width="11.875" style="6" customWidth="1"/>
    <col min="4" max="4" width="13.5" style="6" bestFit="1" customWidth="1"/>
    <col min="5" max="5" width="14.375" style="6" customWidth="1"/>
    <col min="6" max="6" width="13.5" style="6" bestFit="1" customWidth="1"/>
    <col min="7" max="7" width="2.5" style="6" customWidth="1"/>
    <col min="8" max="8" width="9.125" style="6" bestFit="1" customWidth="1"/>
    <col min="9" max="9" width="12.75" style="6" customWidth="1"/>
    <col min="10" max="10" width="13.75" style="6" customWidth="1"/>
    <col min="11" max="11" width="18" style="6" customWidth="1"/>
    <col min="12" max="12" width="13.5" style="6" bestFit="1" customWidth="1"/>
    <col min="13" max="13" width="9" style="6" customWidth="1"/>
    <col min="14" max="14" width="11.625" style="6" customWidth="1"/>
    <col min="15" max="15" width="9" style="6" customWidth="1"/>
    <col min="16" max="18" width="11.625" style="6" customWidth="1"/>
    <col min="19" max="19" width="9" style="6" customWidth="1"/>
    <col min="20" max="16384" width="9" style="6"/>
  </cols>
  <sheetData>
    <row r="1" spans="2:18" s="9" customFormat="1" ht="15" customHeight="1" thickBot="1"/>
    <row r="2" spans="2:18" s="9" customFormat="1" ht="19.5" thickBot="1">
      <c r="B2" s="10" t="s">
        <v>10</v>
      </c>
      <c r="C2" s="11"/>
      <c r="D2" s="11"/>
      <c r="E2" s="11"/>
      <c r="F2" s="11"/>
      <c r="G2" s="11"/>
      <c r="H2" s="11"/>
      <c r="I2" s="11"/>
      <c r="J2" s="11"/>
      <c r="K2" s="12"/>
    </row>
    <row r="3" spans="2:18" s="9" customFormat="1" ht="15" customHeight="1"/>
    <row r="4" spans="2:18" ht="15.75" thickBot="1">
      <c r="N4" s="13"/>
      <c r="P4" s="13"/>
      <c r="Q4" s="13"/>
      <c r="R4" s="13"/>
    </row>
    <row r="5" spans="2:18" ht="15.75" thickBot="1">
      <c r="B5" s="87" t="s">
        <v>89</v>
      </c>
      <c r="N5" s="13"/>
    </row>
    <row r="6" spans="2:18" ht="33.75" thickBot="1">
      <c r="B6" s="368" t="s">
        <v>4</v>
      </c>
      <c r="C6" s="369" t="s">
        <v>5</v>
      </c>
      <c r="D6" s="369" t="s">
        <v>6</v>
      </c>
      <c r="E6" s="370" t="s">
        <v>7</v>
      </c>
      <c r="F6" s="371" t="s">
        <v>8</v>
      </c>
      <c r="N6" s="13"/>
    </row>
    <row r="7" spans="2:18" ht="15.75" thickBot="1">
      <c r="B7" s="374" t="s">
        <v>383</v>
      </c>
      <c r="C7" s="375">
        <f>Charakterystyka_2028!G105</f>
        <v>1472</v>
      </c>
      <c r="D7" s="376">
        <v>5153.6499999999996</v>
      </c>
      <c r="E7" s="91">
        <f>Wskaźniki!$C$7</f>
        <v>0.81200000000000006</v>
      </c>
      <c r="F7" s="377">
        <f>E7*D7</f>
        <v>4184.7637999999997</v>
      </c>
      <c r="K7" s="13"/>
      <c r="N7" s="13"/>
    </row>
    <row r="8" spans="2:18" ht="15.75" thickBot="1">
      <c r="B8" s="378" t="s">
        <v>386</v>
      </c>
      <c r="C8" s="372">
        <v>429</v>
      </c>
      <c r="D8" s="373">
        <v>10353.9</v>
      </c>
      <c r="E8" s="91">
        <f>Wskaźniki!$C$7</f>
        <v>0.81200000000000006</v>
      </c>
      <c r="F8" s="379">
        <f>E8*D8</f>
        <v>8407.3667999999998</v>
      </c>
      <c r="K8" s="13"/>
      <c r="N8" s="13"/>
    </row>
    <row r="9" spans="2:18" ht="15.75" thickBot="1">
      <c r="B9" s="378" t="s">
        <v>744</v>
      </c>
      <c r="C9" s="372">
        <f>Charakterystyka_2028!G28</f>
        <v>5115</v>
      </c>
      <c r="D9" s="373">
        <v>9189.08</v>
      </c>
      <c r="E9" s="91">
        <f>Wskaźniki!$C$7</f>
        <v>0.81200000000000006</v>
      </c>
      <c r="F9" s="379">
        <f>E9*D9</f>
        <v>7461.5329600000005</v>
      </c>
      <c r="K9" s="13"/>
      <c r="N9" s="13"/>
    </row>
    <row r="10" spans="2:18" ht="15.75" thickBot="1">
      <c r="B10" s="378" t="s">
        <v>382</v>
      </c>
      <c r="C10" s="372">
        <v>10</v>
      </c>
      <c r="D10" s="373">
        <f>'Budynki komunalne_2014'!N3</f>
        <v>292.51</v>
      </c>
      <c r="E10" s="91">
        <f>Wskaźniki!$C$7</f>
        <v>0.81200000000000006</v>
      </c>
      <c r="F10" s="379">
        <f>D10*E10</f>
        <v>237.51812000000001</v>
      </c>
      <c r="K10" s="13"/>
      <c r="N10" s="13"/>
    </row>
    <row r="11" spans="2:18" ht="15.75" thickBot="1">
      <c r="B11" s="380" t="s">
        <v>389</v>
      </c>
      <c r="C11" s="385" t="s">
        <v>90</v>
      </c>
      <c r="D11" s="381">
        <f>'Oświetlenie komunalne_2020'!B6</f>
        <v>1282</v>
      </c>
      <c r="E11" s="91">
        <f>Wskaźniki!$C$7</f>
        <v>0.81200000000000006</v>
      </c>
      <c r="F11" s="379">
        <f>D11*E11</f>
        <v>1040.9840000000002</v>
      </c>
      <c r="K11" s="13"/>
      <c r="N11" s="13"/>
    </row>
    <row r="12" spans="2:18" ht="15.75" thickBot="1">
      <c r="B12" s="14"/>
      <c r="C12" s="14"/>
      <c r="D12" s="8">
        <f>SUM(D7:D11)</f>
        <v>26271.139999999996</v>
      </c>
      <c r="E12" s="16"/>
      <c r="F12" s="8">
        <f>SUM(F7:F11)</f>
        <v>21332.165680000002</v>
      </c>
      <c r="G12" s="13"/>
      <c r="K12" s="13"/>
    </row>
    <row r="13" spans="2:18" ht="15.75" thickBot="1">
      <c r="B13" s="87" t="s">
        <v>741</v>
      </c>
      <c r="G13" s="13"/>
      <c r="K13" s="13"/>
    </row>
    <row r="14" spans="2:18" ht="33.75" thickBot="1">
      <c r="B14" s="368" t="s">
        <v>4</v>
      </c>
      <c r="C14" s="369" t="s">
        <v>5</v>
      </c>
      <c r="D14" s="369" t="s">
        <v>6</v>
      </c>
      <c r="E14" s="370" t="s">
        <v>7</v>
      </c>
      <c r="F14" s="371" t="s">
        <v>8</v>
      </c>
      <c r="G14" s="13"/>
      <c r="K14" s="13"/>
    </row>
    <row r="15" spans="2:18" ht="15.75" thickBot="1">
      <c r="B15" s="374" t="s">
        <v>383</v>
      </c>
      <c r="C15" s="375">
        <f>Charakterystyka_2028!Q105</f>
        <v>1489</v>
      </c>
      <c r="D15" s="376">
        <f>C15*D7/C7</f>
        <v>5213.1690557065212</v>
      </c>
      <c r="E15" s="91">
        <f>Wskaźniki!$C$7</f>
        <v>0.81200000000000006</v>
      </c>
      <c r="F15" s="377">
        <f>E15*D15</f>
        <v>4233.093273233696</v>
      </c>
      <c r="G15" s="13"/>
      <c r="K15" s="13"/>
    </row>
    <row r="16" spans="2:18" ht="15.75" thickBot="1">
      <c r="B16" s="378" t="s">
        <v>386</v>
      </c>
      <c r="C16" s="372">
        <v>429</v>
      </c>
      <c r="D16" s="373">
        <v>10353.9</v>
      </c>
      <c r="E16" s="91">
        <f>Wskaźniki!$C$7</f>
        <v>0.81200000000000006</v>
      </c>
      <c r="F16" s="379">
        <f>E16*D16</f>
        <v>8407.3667999999998</v>
      </c>
      <c r="G16" s="13"/>
      <c r="K16" s="13"/>
    </row>
    <row r="17" spans="2:11" ht="15.75" thickBot="1">
      <c r="B17" s="378" t="s">
        <v>744</v>
      </c>
      <c r="C17" s="372">
        <f>Charakterystyka_2028!Q28</f>
        <v>5767</v>
      </c>
      <c r="D17" s="376">
        <f>C17*D9/C9</f>
        <v>10360.395769305962</v>
      </c>
      <c r="E17" s="91">
        <f>Wskaźniki!$C$7</f>
        <v>0.81200000000000006</v>
      </c>
      <c r="F17" s="379">
        <f>E17*D17</f>
        <v>8412.6413646764413</v>
      </c>
      <c r="G17" s="13"/>
      <c r="K17" s="13"/>
    </row>
    <row r="18" spans="2:11" ht="15.75" thickBot="1">
      <c r="B18" s="378" t="s">
        <v>382</v>
      </c>
      <c r="C18" s="372">
        <v>10</v>
      </c>
      <c r="D18" s="373">
        <f>'Budynki komunalne_2028'!T3</f>
        <v>1922.7650000000001</v>
      </c>
      <c r="E18" s="91">
        <f>Wskaźniki!$C$7</f>
        <v>0.81200000000000006</v>
      </c>
      <c r="F18" s="379">
        <f>D18*E18</f>
        <v>1561.2851800000001</v>
      </c>
      <c r="G18" s="13"/>
      <c r="K18" s="13"/>
    </row>
    <row r="19" spans="2:11" ht="15.75" thickBot="1">
      <c r="B19" s="380" t="s">
        <v>389</v>
      </c>
      <c r="C19" s="385" t="s">
        <v>90</v>
      </c>
      <c r="D19" s="381">
        <f>'Oświetlenie komunalne_2028'!B6</f>
        <v>703.11</v>
      </c>
      <c r="E19" s="91">
        <f>Wskaźniki!$C$7</f>
        <v>0.81200000000000006</v>
      </c>
      <c r="F19" s="379">
        <f>D19*E19</f>
        <v>570.92532000000006</v>
      </c>
      <c r="G19" s="13"/>
      <c r="K19" s="13"/>
    </row>
    <row r="20" spans="2:11" ht="15.75" thickBot="1">
      <c r="B20" s="14"/>
      <c r="C20" s="14"/>
      <c r="D20" s="8">
        <f>SUM(D15:D19)</f>
        <v>28553.339825012481</v>
      </c>
      <c r="E20" s="16"/>
      <c r="F20" s="8">
        <f>SUM(F15:F19)</f>
        <v>23185.311937910134</v>
      </c>
    </row>
    <row r="21" spans="2:11" ht="15.75" thickBot="1">
      <c r="B21" s="1078" t="s">
        <v>625</v>
      </c>
      <c r="C21" s="1079"/>
    </row>
    <row r="22" spans="2:11" ht="33.75" thickBot="1">
      <c r="B22" s="368" t="s">
        <v>4</v>
      </c>
      <c r="C22" s="369" t="s">
        <v>5</v>
      </c>
      <c r="D22" s="369" t="s">
        <v>6</v>
      </c>
      <c r="E22" s="370" t="s">
        <v>7</v>
      </c>
      <c r="F22" s="371" t="s">
        <v>8</v>
      </c>
    </row>
    <row r="23" spans="2:11" ht="15.75" thickBot="1">
      <c r="B23" s="374" t="str">
        <f>B7</f>
        <v>Przemysł</v>
      </c>
      <c r="C23" s="383">
        <f>Charakterystyka_2028!AC105</f>
        <v>1230</v>
      </c>
      <c r="D23" s="376">
        <f>(D7/Charakterystyka_2028!G9)*Charakterystyka_2028!AI9</f>
        <v>4543.5201511335008</v>
      </c>
      <c r="E23" s="91">
        <f>Wskaźniki!$C$7</f>
        <v>0.81200000000000006</v>
      </c>
      <c r="F23" s="377">
        <f>E23*D23</f>
        <v>3689.338362720403</v>
      </c>
    </row>
    <row r="24" spans="2:11" s="17" customFormat="1" ht="15.75" thickBot="1">
      <c r="B24" s="378" t="str">
        <f>B8</f>
        <v>Budynki niekomunalne</v>
      </c>
      <c r="C24" s="382">
        <v>0</v>
      </c>
      <c r="D24" s="373">
        <f>(D8/Charakterystyka_2028!G9)*Charakterystyka_2028!AI9</f>
        <v>9128.1234256926946</v>
      </c>
      <c r="E24" s="91">
        <f>Wskaźniki!$C$7</f>
        <v>0.81200000000000006</v>
      </c>
      <c r="F24" s="379">
        <f>E24*D24</f>
        <v>7412.0362216624681</v>
      </c>
    </row>
    <row r="25" spans="2:11" ht="15.75" thickBot="1">
      <c r="B25" s="378" t="str">
        <f>B9</f>
        <v>Budynki mieszkalne (mieszkania)</v>
      </c>
      <c r="C25" s="382">
        <v>0</v>
      </c>
      <c r="D25" s="373">
        <f>(D9/Charakterystyka_2028!G9)*Charakterystyka_2028!AI9</f>
        <v>8101.2040302267005</v>
      </c>
      <c r="E25" s="91">
        <f>Wskaźniki!$C$7</f>
        <v>0.81200000000000006</v>
      </c>
      <c r="F25" s="379">
        <f>E25*D25</f>
        <v>6578.1776725440814</v>
      </c>
    </row>
    <row r="26" spans="2:11" ht="15.75" thickBot="1">
      <c r="B26" s="378" t="str">
        <f>B10</f>
        <v>Budynki komunalne</v>
      </c>
      <c r="C26" s="382"/>
      <c r="D26" s="373">
        <f>(D10/Charakterystyka_2028!G9)*Charakterystyka_2028!AI9</f>
        <v>257.88035264483625</v>
      </c>
      <c r="E26" s="91">
        <f>Wskaźniki!$C$7</f>
        <v>0.81200000000000006</v>
      </c>
      <c r="F26" s="379">
        <f>E26*D26</f>
        <v>209.39884634760705</v>
      </c>
    </row>
    <row r="27" spans="2:11" ht="15.75" thickBot="1">
      <c r="B27" s="380" t="str">
        <f>B11</f>
        <v>Komunalne oświetlenie publiczne</v>
      </c>
      <c r="C27" s="384"/>
      <c r="D27" s="381">
        <f>'Oświetlenie komunalne_2028'!B13</f>
        <v>710.54611870520614</v>
      </c>
      <c r="E27" s="91">
        <f>Wskaźniki!$C$7</f>
        <v>0.81200000000000006</v>
      </c>
      <c r="F27" s="379">
        <f>E27*D27</f>
        <v>576.9634483886274</v>
      </c>
    </row>
    <row r="28" spans="2:11" ht="15.75" thickBot="1">
      <c r="B28" s="14"/>
      <c r="C28" s="14"/>
      <c r="D28" s="8">
        <f>SUM(D23:D27)</f>
        <v>22741.274078402937</v>
      </c>
      <c r="E28" s="16"/>
      <c r="F28" s="8">
        <f>SUM(F23:F27)</f>
        <v>18465.914551663183</v>
      </c>
    </row>
  </sheetData>
  <mergeCells count="1">
    <mergeCell ref="B21:C2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1:L20"/>
  <sheetViews>
    <sheetView showGridLines="0" view="pageBreakPreview" topLeftCell="A7" zoomScaleSheetLayoutView="100" workbookViewId="0">
      <selection activeCell="K33" sqref="K33"/>
    </sheetView>
  </sheetViews>
  <sheetFormatPr defaultRowHeight="15"/>
  <cols>
    <col min="1" max="1" width="2.5" style="6" customWidth="1"/>
    <col min="2" max="2" width="9" style="6"/>
    <col min="3" max="3" width="17.875" style="6" customWidth="1"/>
    <col min="4" max="4" width="15.5" style="6" customWidth="1"/>
    <col min="5" max="6" width="15.625" style="6" customWidth="1"/>
    <col min="7" max="7" width="13.5" style="6" bestFit="1" customWidth="1"/>
    <col min="8" max="8" width="9.75" style="6" bestFit="1" customWidth="1"/>
    <col min="9" max="9" width="9.125" style="6" bestFit="1" customWidth="1"/>
    <col min="10" max="10" width="12.75" style="6" customWidth="1"/>
    <col min="11" max="11" width="13.75" style="6" customWidth="1"/>
    <col min="12" max="12" width="18" style="6" customWidth="1"/>
    <col min="13" max="13" width="13.5" style="6" bestFit="1" customWidth="1"/>
    <col min="14" max="14" width="9" style="6" customWidth="1"/>
    <col min="15" max="15" width="11.625" style="6" customWidth="1"/>
    <col min="16" max="16" width="9" style="6" customWidth="1"/>
    <col min="17" max="19" width="11.625" style="6" customWidth="1"/>
    <col min="20" max="20" width="9" style="6" customWidth="1"/>
    <col min="21" max="16384" width="9" style="6"/>
  </cols>
  <sheetData>
    <row r="1" spans="2:12" s="9" customFormat="1" ht="15" customHeight="1" thickBot="1"/>
    <row r="2" spans="2:12" s="9" customFormat="1" ht="19.5" thickBot="1">
      <c r="B2" s="10" t="s">
        <v>11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s="9" customFormat="1" ht="15" customHeight="1"/>
    <row r="4" spans="2:12" ht="15.75" thickBot="1">
      <c r="B4" s="19"/>
      <c r="C4" s="19"/>
      <c r="D4" s="20"/>
      <c r="E4" s="20"/>
      <c r="F4" s="20"/>
      <c r="G4" s="21"/>
      <c r="H4" s="18"/>
    </row>
    <row r="5" spans="2:12" ht="15.75" thickBot="1">
      <c r="B5" s="87" t="s">
        <v>89</v>
      </c>
      <c r="C5" s="20"/>
      <c r="D5" s="20"/>
      <c r="E5" s="20"/>
      <c r="F5" s="20"/>
      <c r="G5" s="21"/>
      <c r="H5" s="18"/>
    </row>
    <row r="6" spans="2:12" ht="30">
      <c r="B6" s="1085"/>
      <c r="C6" s="1086"/>
      <c r="D6" s="24" t="s">
        <v>15</v>
      </c>
      <c r="E6" s="24" t="s">
        <v>12</v>
      </c>
      <c r="F6" s="25" t="s">
        <v>208</v>
      </c>
      <c r="G6" s="29" t="s">
        <v>13</v>
      </c>
      <c r="H6" s="26" t="s">
        <v>14</v>
      </c>
    </row>
    <row r="7" spans="2:12">
      <c r="B7" s="1092" t="str">
        <f>'En. elektryczna_2020'!B7</f>
        <v>Przemysł</v>
      </c>
      <c r="C7" s="1088"/>
      <c r="D7" s="30">
        <v>51038.84</v>
      </c>
      <c r="E7" s="27">
        <f>D7*0.0373</f>
        <v>1903.7487319999998</v>
      </c>
      <c r="F7" s="27">
        <f>E7/K11</f>
        <v>528.81909222222214</v>
      </c>
      <c r="G7" s="125">
        <f>Wskaźniki!$C$12</f>
        <v>5.5820000000000002E-2</v>
      </c>
      <c r="H7" s="28">
        <f>E7*G7</f>
        <v>106.26725422023999</v>
      </c>
    </row>
    <row r="8" spans="2:12">
      <c r="B8" s="1092" t="str">
        <f>'En. elektryczna_2020'!B8</f>
        <v>Budynki niekomunalne</v>
      </c>
      <c r="C8" s="1088"/>
      <c r="D8" s="121">
        <v>1034734.72</v>
      </c>
      <c r="E8" s="27">
        <f>D8*0.0373</f>
        <v>38595.605056</v>
      </c>
      <c r="F8" s="27">
        <f>E8/K11</f>
        <v>10721.001404444445</v>
      </c>
      <c r="G8" s="125">
        <f>Wskaźniki!$C$12</f>
        <v>5.5820000000000002E-2</v>
      </c>
      <c r="H8" s="28">
        <f>E8*G8</f>
        <v>2154.4066742259201</v>
      </c>
    </row>
    <row r="9" spans="2:12" ht="15.75" thickBot="1">
      <c r="B9" s="1092" t="str">
        <f>'En. elektryczna_2020'!B9</f>
        <v>Budynki mieszkalne</v>
      </c>
      <c r="C9" s="1088"/>
      <c r="D9" s="121">
        <v>2468100</v>
      </c>
      <c r="E9" s="27">
        <f>D9*0.0373</f>
        <v>92060.13</v>
      </c>
      <c r="F9" s="27">
        <f>E9/K11</f>
        <v>25572.258333333335</v>
      </c>
      <c r="G9" s="125">
        <f>Wskaźniki!$C$12</f>
        <v>5.5820000000000002E-2</v>
      </c>
      <c r="H9" s="28">
        <f>E9*G9</f>
        <v>5138.7964566000001</v>
      </c>
    </row>
    <row r="10" spans="2:12" s="390" customFormat="1" ht="15" customHeight="1" thickBot="1">
      <c r="B10" s="1093" t="str">
        <f>'En. elektryczna_2020'!B10</f>
        <v>Budynki komunalne</v>
      </c>
      <c r="C10" s="1094"/>
      <c r="D10" s="388">
        <f>E10/Wskaźniki!C11</f>
        <v>892702.38095238095</v>
      </c>
      <c r="E10" s="389">
        <f>'Budynki komunalne_2014'!G4+'Budynki komunalne_2014'!G5+'Budynki komunalne_2014'!G6+'Budynki komunalne_2014'!G7+'Budynki komunalne_2014'!G10+'Budynki komunalne_2014'!G11</f>
        <v>32244.41</v>
      </c>
      <c r="F10" s="389">
        <f>E10/K11</f>
        <v>8956.7805555555551</v>
      </c>
      <c r="G10" s="125">
        <f>Wskaźniki!$C$12</f>
        <v>5.5820000000000002E-2</v>
      </c>
      <c r="H10" s="28">
        <f>E10*G10</f>
        <v>1799.8829662000001</v>
      </c>
      <c r="J10" s="1080" t="s">
        <v>211</v>
      </c>
      <c r="K10" s="1081"/>
      <c r="L10" s="1082"/>
    </row>
    <row r="11" spans="2:12" ht="15.75" thickBot="1">
      <c r="B11" s="1083" t="s">
        <v>3</v>
      </c>
      <c r="C11" s="1084"/>
      <c r="D11" s="31">
        <f>SUM(D7:D10)</f>
        <v>4446575.9409523811</v>
      </c>
      <c r="E11" s="31">
        <f>SUM(E7:E10)</f>
        <v>164803.89378800002</v>
      </c>
      <c r="F11" s="31">
        <f>SUM(F7:F10)</f>
        <v>45778.859385555552</v>
      </c>
      <c r="G11" s="32"/>
      <c r="H11" s="33">
        <f>SUM(H7:H10)</f>
        <v>9199.3533512461599</v>
      </c>
      <c r="J11" s="587" t="s">
        <v>212</v>
      </c>
      <c r="K11" s="590">
        <v>3.6</v>
      </c>
      <c r="L11" s="588" t="s">
        <v>207</v>
      </c>
    </row>
    <row r="12" spans="2:12" ht="15.75" thickBot="1">
      <c r="B12" s="1091"/>
      <c r="C12" s="1091"/>
      <c r="D12" s="120"/>
      <c r="E12" s="118"/>
      <c r="F12" s="118"/>
      <c r="G12" s="119"/>
      <c r="H12" s="118"/>
      <c r="J12" s="549" t="s">
        <v>213</v>
      </c>
      <c r="K12" s="591">
        <v>0.27700000000000002</v>
      </c>
      <c r="L12" s="589" t="s">
        <v>214</v>
      </c>
    </row>
    <row r="13" spans="2:12" ht="15.75" thickBot="1">
      <c r="B13" s="19"/>
      <c r="C13" s="19"/>
      <c r="D13" s="22"/>
      <c r="E13" s="20"/>
      <c r="F13" s="20"/>
      <c r="G13" s="20"/>
      <c r="H13" s="18"/>
    </row>
    <row r="14" spans="2:12" ht="15.75" thickBot="1">
      <c r="B14" s="1078" t="s">
        <v>63</v>
      </c>
      <c r="C14" s="1079"/>
      <c r="D14" s="20"/>
      <c r="E14" s="20"/>
      <c r="F14" s="20"/>
      <c r="G14" s="21"/>
      <c r="H14" s="18"/>
      <c r="J14" s="117"/>
    </row>
    <row r="15" spans="2:12" s="17" customFormat="1" ht="30">
      <c r="B15" s="1085"/>
      <c r="C15" s="1086"/>
      <c r="D15" s="24" t="s">
        <v>15</v>
      </c>
      <c r="E15" s="24" t="s">
        <v>12</v>
      </c>
      <c r="F15" s="24" t="str">
        <f>F6</f>
        <v>zużycie gazu [MWh]</v>
      </c>
      <c r="G15" s="29" t="s">
        <v>13</v>
      </c>
      <c r="H15" s="26" t="s">
        <v>14</v>
      </c>
      <c r="J15" s="117"/>
    </row>
    <row r="16" spans="2:12" ht="15" customHeight="1">
      <c r="B16" s="1087" t="str">
        <f>B7</f>
        <v>Przemysł</v>
      </c>
      <c r="C16" s="1088"/>
      <c r="D16" s="75">
        <f>(D7/Charakterystyka_2020!L9)*Charakterystyka_2020!AI9</f>
        <v>50438.887220822835</v>
      </c>
      <c r="E16" s="74">
        <f>D16*0.0373</f>
        <v>1881.3704933366917</v>
      </c>
      <c r="F16" s="74">
        <f>E16/K11</f>
        <v>522.60291481574768</v>
      </c>
      <c r="G16" s="125">
        <f>Wskaźniki!$C$12</f>
        <v>5.5820000000000002E-2</v>
      </c>
      <c r="H16" s="28">
        <f>E16*G16</f>
        <v>105.01810093805413</v>
      </c>
      <c r="J16" s="117"/>
    </row>
    <row r="17" spans="2:11">
      <c r="B17" s="1087" t="str">
        <f>B8</f>
        <v>Budynki niekomunalne</v>
      </c>
      <c r="C17" s="1088"/>
      <c r="D17" s="76">
        <f>(D8/Charakterystyka_2020!L9)*Charakterystyka_2020!AI9</f>
        <v>1022571.5914693535</v>
      </c>
      <c r="E17" s="74">
        <f>D17*0.0373</f>
        <v>38141.920361806886</v>
      </c>
      <c r="F17" s="74">
        <f>E17/K11</f>
        <v>10594.977878279691</v>
      </c>
      <c r="G17" s="125">
        <f>Wskaźniki!$C$12</f>
        <v>5.5820000000000002E-2</v>
      </c>
      <c r="H17" s="28">
        <f>E17*G17</f>
        <v>2129.0819945960602</v>
      </c>
      <c r="K17" s="14"/>
    </row>
    <row r="18" spans="2:11">
      <c r="B18" s="1087" t="str">
        <f>B9</f>
        <v>Budynki mieszkalne</v>
      </c>
      <c r="C18" s="1088"/>
      <c r="D18" s="76">
        <f>D9/Charakterystyka_2020!L9*Charakterystyka_2020!AI9</f>
        <v>2439087.909319899</v>
      </c>
      <c r="E18" s="74">
        <f>D18*0.0373</f>
        <v>90977.979017632228</v>
      </c>
      <c r="F18" s="74">
        <f>E18/K11</f>
        <v>25271.660838231175</v>
      </c>
      <c r="G18" s="125">
        <f>Wskaźniki!$C$12</f>
        <v>5.5820000000000002E-2</v>
      </c>
      <c r="H18" s="28">
        <f>E18*G18</f>
        <v>5078.3907887642308</v>
      </c>
    </row>
    <row r="19" spans="2:11">
      <c r="B19" s="1089" t="str">
        <f>B10</f>
        <v>Budynki komunalne</v>
      </c>
      <c r="C19" s="1090"/>
      <c r="D19" s="386">
        <f>E19/Wskaźniki!C11</f>
        <v>892702.38095238095</v>
      </c>
      <c r="E19" s="387">
        <f>'Budynki komunalne_2014'!G4+'Budynki komunalne_2014'!G5+'Budynki komunalne_2014'!G6+'Budynki komunalne_2014'!G7+'Budynki komunalne_2014'!G10+'Budynki komunalne_2014'!G11</f>
        <v>32244.41</v>
      </c>
      <c r="F19" s="387">
        <f>E19/K11</f>
        <v>8956.7805555555551</v>
      </c>
      <c r="G19" s="125">
        <f>Wskaźniki!$C$12</f>
        <v>5.5820000000000002E-2</v>
      </c>
      <c r="H19" s="28">
        <f>E19*G19</f>
        <v>1799.8829662000001</v>
      </c>
    </row>
    <row r="20" spans="2:11" ht="15.75" thickBot="1">
      <c r="B20" s="1083" t="s">
        <v>3</v>
      </c>
      <c r="C20" s="1084"/>
      <c r="D20" s="31">
        <f>SUM(D16:D19)</f>
        <v>4404800.7689624559</v>
      </c>
      <c r="E20" s="31">
        <f>SUM(E16:E19)</f>
        <v>163245.6798727758</v>
      </c>
      <c r="F20" s="31">
        <f>SUM(F16:F19)</f>
        <v>45346.022186882168</v>
      </c>
      <c r="G20" s="32"/>
      <c r="H20" s="33">
        <f>SUM(H16:H19)</f>
        <v>9112.3738504983448</v>
      </c>
    </row>
  </sheetData>
  <mergeCells count="15">
    <mergeCell ref="B6:C6"/>
    <mergeCell ref="B7:C7"/>
    <mergeCell ref="B8:C8"/>
    <mergeCell ref="B9:C9"/>
    <mergeCell ref="B10:C10"/>
    <mergeCell ref="J10:L10"/>
    <mergeCell ref="B20:C20"/>
    <mergeCell ref="B14:C14"/>
    <mergeCell ref="B15:C15"/>
    <mergeCell ref="B16:C16"/>
    <mergeCell ref="B17:C17"/>
    <mergeCell ref="B18:C18"/>
    <mergeCell ref="B19:C19"/>
    <mergeCell ref="B12:C12"/>
    <mergeCell ref="B11:C1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L3"/>
  <sheetViews>
    <sheetView view="pageBreakPreview" zoomScale="80" zoomScaleSheetLayoutView="80" workbookViewId="0">
      <selection activeCell="I25" sqref="I25"/>
    </sheetView>
  </sheetViews>
  <sheetFormatPr defaultRowHeight="15"/>
  <cols>
    <col min="1" max="1" width="2.5" style="6" customWidth="1"/>
    <col min="2" max="2" width="9" style="6"/>
    <col min="3" max="3" width="11.875" style="6" customWidth="1"/>
    <col min="4" max="4" width="13.5" style="6" bestFit="1" customWidth="1"/>
    <col min="5" max="5" width="15.625" style="6" customWidth="1"/>
    <col min="6" max="6" width="13.5" style="6" bestFit="1" customWidth="1"/>
    <col min="7" max="7" width="2.5" style="6" customWidth="1"/>
    <col min="8" max="8" width="9.875" style="6" customWidth="1"/>
    <col min="9" max="9" width="12.75" style="6" customWidth="1"/>
    <col min="10" max="10" width="13.75" style="6" customWidth="1"/>
    <col min="11" max="11" width="18" style="6" customWidth="1"/>
    <col min="12" max="12" width="13.5" style="6" bestFit="1" customWidth="1"/>
    <col min="13" max="13" width="9" style="6" customWidth="1"/>
    <col min="14" max="14" width="11.625" style="6" customWidth="1"/>
    <col min="15" max="15" width="9" style="6" customWidth="1"/>
    <col min="16" max="18" width="11.625" style="6" customWidth="1"/>
    <col min="19" max="19" width="9" style="6" customWidth="1"/>
    <col min="20" max="16384" width="9" style="6"/>
  </cols>
  <sheetData>
    <row r="1" spans="2:12" s="9" customFormat="1" ht="15" customHeight="1" thickBot="1"/>
    <row r="2" spans="2:12" s="9" customFormat="1" ht="19.5" thickBot="1">
      <c r="B2" s="10" t="s">
        <v>16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s="9" customFormat="1" ht="15" customHeight="1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O100"/>
  <sheetViews>
    <sheetView showGridLines="0" view="pageBreakPreview" topLeftCell="A10" zoomScale="70" zoomScaleNormal="70" zoomScaleSheetLayoutView="70" workbookViewId="0">
      <selection activeCell="H95" sqref="H95"/>
    </sheetView>
  </sheetViews>
  <sheetFormatPr defaultRowHeight="14.25"/>
  <cols>
    <col min="1" max="1" width="2.125" customWidth="1"/>
    <col min="2" max="2" width="4" customWidth="1"/>
    <col min="3" max="3" width="21" customWidth="1"/>
    <col min="4" max="4" width="20" customWidth="1"/>
    <col min="5" max="5" width="10.625" customWidth="1"/>
    <col min="6" max="6" width="10.125" customWidth="1"/>
    <col min="15" max="15" width="31.125" customWidth="1"/>
    <col min="17" max="17" width="7.625" customWidth="1"/>
    <col min="18" max="18" width="12.75" customWidth="1"/>
  </cols>
  <sheetData>
    <row r="1" spans="2:15" ht="15" thickBot="1"/>
    <row r="2" spans="2:15" ht="19.5" thickBot="1">
      <c r="B2" s="10" t="s">
        <v>102</v>
      </c>
      <c r="C2" s="11"/>
      <c r="D2" s="11"/>
      <c r="E2" s="11"/>
      <c r="F2" s="11"/>
      <c r="G2" s="11"/>
      <c r="H2" s="11"/>
      <c r="I2" s="11"/>
      <c r="J2" s="11"/>
      <c r="K2" s="12"/>
      <c r="L2" s="10"/>
      <c r="M2" s="11"/>
      <c r="N2" s="11"/>
      <c r="O2" s="11"/>
    </row>
    <row r="3" spans="2:15" ht="30" customHeight="1" thickBot="1">
      <c r="B3" s="675" t="s">
        <v>609</v>
      </c>
    </row>
    <row r="4" spans="2:15">
      <c r="B4" s="1100" t="s">
        <v>103</v>
      </c>
      <c r="C4" s="1102" t="s">
        <v>104</v>
      </c>
      <c r="D4" s="1104" t="s">
        <v>105</v>
      </c>
      <c r="E4" s="1095" t="s">
        <v>106</v>
      </c>
      <c r="F4" s="1095"/>
      <c r="G4" s="1095"/>
      <c r="H4" s="1106" t="s">
        <v>107</v>
      </c>
      <c r="I4" s="1107"/>
      <c r="J4" s="1107"/>
      <c r="K4" s="1107"/>
      <c r="L4" s="1108"/>
      <c r="M4" s="1095" t="s">
        <v>109</v>
      </c>
      <c r="N4" s="1095"/>
      <c r="O4" s="1096" t="s">
        <v>100</v>
      </c>
    </row>
    <row r="5" spans="2:15" ht="39" thickBot="1">
      <c r="B5" s="1101"/>
      <c r="C5" s="1103"/>
      <c r="D5" s="1105"/>
      <c r="E5" s="98" t="s">
        <v>110</v>
      </c>
      <c r="F5" s="98" t="s">
        <v>111</v>
      </c>
      <c r="G5" s="98" t="s">
        <v>97</v>
      </c>
      <c r="H5" s="99" t="s">
        <v>112</v>
      </c>
      <c r="I5" s="99" t="s">
        <v>503</v>
      </c>
      <c r="J5" s="99" t="s">
        <v>553</v>
      </c>
      <c r="K5" s="99" t="s">
        <v>113</v>
      </c>
      <c r="L5" s="99" t="s">
        <v>114</v>
      </c>
      <c r="M5" s="98" t="s">
        <v>98</v>
      </c>
      <c r="N5" s="98" t="s">
        <v>99</v>
      </c>
      <c r="O5" s="1097"/>
    </row>
    <row r="6" spans="2:15">
      <c r="B6" s="100">
        <v>1</v>
      </c>
      <c r="C6" s="101" t="s">
        <v>117</v>
      </c>
      <c r="D6" s="102" t="s">
        <v>93</v>
      </c>
      <c r="E6" s="101">
        <v>110</v>
      </c>
      <c r="F6" s="101">
        <v>2</v>
      </c>
      <c r="G6" s="101">
        <v>37</v>
      </c>
      <c r="H6" s="102"/>
      <c r="I6" s="102"/>
      <c r="J6" s="102">
        <v>2461</v>
      </c>
      <c r="K6" s="102"/>
      <c r="L6" s="102"/>
      <c r="M6" s="101"/>
      <c r="N6" s="101" t="s">
        <v>115</v>
      </c>
      <c r="O6" s="103" t="s">
        <v>116</v>
      </c>
    </row>
    <row r="7" spans="2:15">
      <c r="B7" s="104">
        <v>2</v>
      </c>
      <c r="C7" s="105" t="s">
        <v>122</v>
      </c>
      <c r="D7" s="106" t="s">
        <v>93</v>
      </c>
      <c r="E7" s="105">
        <v>150</v>
      </c>
      <c r="F7" s="105">
        <v>2</v>
      </c>
      <c r="G7" s="105">
        <v>40</v>
      </c>
      <c r="H7" s="106"/>
      <c r="I7" s="106"/>
      <c r="J7" s="106">
        <v>2000</v>
      </c>
      <c r="K7" s="106"/>
      <c r="L7" s="106"/>
      <c r="M7" s="105"/>
      <c r="N7" s="105" t="s">
        <v>115</v>
      </c>
      <c r="O7" s="107" t="s">
        <v>96</v>
      </c>
    </row>
    <row r="8" spans="2:15">
      <c r="B8" s="104">
        <v>3</v>
      </c>
      <c r="C8" s="105" t="s">
        <v>123</v>
      </c>
      <c r="D8" s="106" t="s">
        <v>93</v>
      </c>
      <c r="E8" s="105">
        <v>100</v>
      </c>
      <c r="F8" s="105">
        <v>1</v>
      </c>
      <c r="G8" s="105">
        <v>40</v>
      </c>
      <c r="H8" s="106"/>
      <c r="I8" s="106"/>
      <c r="J8" s="106">
        <v>1500</v>
      </c>
      <c r="K8" s="106"/>
      <c r="L8" s="106">
        <v>4</v>
      </c>
      <c r="M8" s="105"/>
      <c r="N8" s="105" t="s">
        <v>115</v>
      </c>
      <c r="O8" s="107" t="s">
        <v>101</v>
      </c>
    </row>
    <row r="9" spans="2:15">
      <c r="B9" s="104">
        <v>4</v>
      </c>
      <c r="C9" s="105" t="s">
        <v>124</v>
      </c>
      <c r="D9" s="106" t="s">
        <v>93</v>
      </c>
      <c r="E9" s="105">
        <v>38</v>
      </c>
      <c r="F9" s="105">
        <v>1</v>
      </c>
      <c r="G9" s="105">
        <v>1990</v>
      </c>
      <c r="H9" s="106"/>
      <c r="I9" s="106"/>
      <c r="J9" s="106"/>
      <c r="K9" s="106">
        <v>70</v>
      </c>
      <c r="L9" s="106"/>
      <c r="M9" s="105" t="s">
        <v>115</v>
      </c>
      <c r="N9" s="105"/>
      <c r="O9" s="107" t="s">
        <v>125</v>
      </c>
    </row>
    <row r="10" spans="2:15">
      <c r="B10" s="104">
        <v>5</v>
      </c>
      <c r="C10" s="105" t="s">
        <v>128</v>
      </c>
      <c r="D10" s="106" t="s">
        <v>93</v>
      </c>
      <c r="E10" s="105">
        <v>140</v>
      </c>
      <c r="F10" s="105">
        <v>3</v>
      </c>
      <c r="G10" s="105">
        <v>20</v>
      </c>
      <c r="H10" s="106"/>
      <c r="I10" s="106"/>
      <c r="J10" s="106"/>
      <c r="K10" s="106"/>
      <c r="L10" s="106">
        <v>20</v>
      </c>
      <c r="M10" s="105" t="s">
        <v>115</v>
      </c>
      <c r="N10" s="105"/>
      <c r="O10" s="107" t="s">
        <v>96</v>
      </c>
    </row>
    <row r="11" spans="2:15">
      <c r="B11" s="104">
        <v>6</v>
      </c>
      <c r="C11" s="105" t="s">
        <v>129</v>
      </c>
      <c r="D11" s="106" t="s">
        <v>93</v>
      </c>
      <c r="E11" s="105">
        <v>140</v>
      </c>
      <c r="F11" s="105">
        <v>4</v>
      </c>
      <c r="G11" s="105">
        <v>42</v>
      </c>
      <c r="H11" s="106"/>
      <c r="I11" s="106"/>
      <c r="J11" s="106">
        <v>1700</v>
      </c>
      <c r="K11" s="106"/>
      <c r="L11" s="106"/>
      <c r="M11" s="105" t="s">
        <v>115</v>
      </c>
      <c r="N11" s="105"/>
      <c r="O11" s="107" t="s">
        <v>96</v>
      </c>
    </row>
    <row r="12" spans="2:15">
      <c r="B12" s="104">
        <v>7</v>
      </c>
      <c r="C12" s="105" t="s">
        <v>130</v>
      </c>
      <c r="D12" s="106" t="s">
        <v>93</v>
      </c>
      <c r="E12" s="105">
        <v>250</v>
      </c>
      <c r="F12" s="105">
        <v>2</v>
      </c>
      <c r="G12" s="105">
        <v>50</v>
      </c>
      <c r="H12" s="106">
        <v>5</v>
      </c>
      <c r="I12" s="106">
        <f>1*Wskaźniki!C10</f>
        <v>3.5700000000000003E-2</v>
      </c>
      <c r="J12" s="106"/>
      <c r="K12" s="106"/>
      <c r="L12" s="106"/>
      <c r="M12" s="105" t="s">
        <v>115</v>
      </c>
      <c r="N12" s="105"/>
      <c r="O12" s="107" t="s">
        <v>131</v>
      </c>
    </row>
    <row r="13" spans="2:15">
      <c r="B13" s="104">
        <v>8</v>
      </c>
      <c r="C13" s="105" t="s">
        <v>132</v>
      </c>
      <c r="D13" s="106" t="s">
        <v>93</v>
      </c>
      <c r="E13" s="105">
        <v>207</v>
      </c>
      <c r="F13" s="105">
        <v>3</v>
      </c>
      <c r="G13" s="105">
        <v>38</v>
      </c>
      <c r="H13" s="106"/>
      <c r="I13" s="106"/>
      <c r="J13" s="106">
        <v>2500</v>
      </c>
      <c r="K13" s="106"/>
      <c r="L13" s="106">
        <v>7</v>
      </c>
      <c r="M13" s="105"/>
      <c r="N13" s="105" t="s">
        <v>115</v>
      </c>
      <c r="O13" s="107" t="s">
        <v>125</v>
      </c>
    </row>
    <row r="14" spans="2:15">
      <c r="B14" s="104">
        <v>13</v>
      </c>
      <c r="C14" s="105" t="s">
        <v>133</v>
      </c>
      <c r="D14" s="106" t="s">
        <v>95</v>
      </c>
      <c r="E14" s="105">
        <v>60</v>
      </c>
      <c r="F14" s="105">
        <v>3</v>
      </c>
      <c r="G14" s="105">
        <v>100</v>
      </c>
      <c r="H14" s="106">
        <v>2</v>
      </c>
      <c r="I14" s="106"/>
      <c r="J14" s="106"/>
      <c r="K14" s="106"/>
      <c r="L14" s="106" t="s">
        <v>115</v>
      </c>
      <c r="M14" s="105"/>
      <c r="N14" s="105" t="s">
        <v>115</v>
      </c>
      <c r="O14" s="107" t="s">
        <v>134</v>
      </c>
    </row>
    <row r="15" spans="2:15">
      <c r="B15" s="104">
        <v>18</v>
      </c>
      <c r="C15" s="105" t="s">
        <v>135</v>
      </c>
      <c r="D15" s="106" t="s">
        <v>93</v>
      </c>
      <c r="E15" s="105">
        <v>190</v>
      </c>
      <c r="F15" s="105">
        <v>5</v>
      </c>
      <c r="G15" s="105">
        <v>25</v>
      </c>
      <c r="H15" s="106"/>
      <c r="I15" s="106"/>
      <c r="J15" s="106">
        <v>2100</v>
      </c>
      <c r="K15" s="106"/>
      <c r="L15" s="106"/>
      <c r="M15" s="105"/>
      <c r="N15" s="105" t="s">
        <v>115</v>
      </c>
      <c r="O15" s="107" t="s">
        <v>94</v>
      </c>
    </row>
    <row r="16" spans="2:15">
      <c r="B16" s="104">
        <v>19</v>
      </c>
      <c r="C16" s="105" t="s">
        <v>136</v>
      </c>
      <c r="D16" s="106" t="s">
        <v>93</v>
      </c>
      <c r="E16" s="105">
        <v>100</v>
      </c>
      <c r="F16" s="105">
        <v>5</v>
      </c>
      <c r="G16" s="105">
        <v>45</v>
      </c>
      <c r="H16" s="106">
        <v>8</v>
      </c>
      <c r="I16" s="106"/>
      <c r="J16" s="106"/>
      <c r="K16" s="106"/>
      <c r="L16" s="106"/>
      <c r="M16" s="105" t="s">
        <v>115</v>
      </c>
      <c r="N16" s="105"/>
      <c r="O16" s="107" t="s">
        <v>101</v>
      </c>
    </row>
    <row r="17" spans="2:15">
      <c r="B17" s="104">
        <v>20</v>
      </c>
      <c r="C17" s="105" t="s">
        <v>137</v>
      </c>
      <c r="D17" s="106" t="s">
        <v>95</v>
      </c>
      <c r="E17" s="105">
        <v>54</v>
      </c>
      <c r="F17" s="105">
        <v>7</v>
      </c>
      <c r="G17" s="105">
        <v>80</v>
      </c>
      <c r="H17" s="106">
        <v>8</v>
      </c>
      <c r="I17" s="106"/>
      <c r="J17" s="106"/>
      <c r="K17" s="106"/>
      <c r="L17" s="106">
        <v>8</v>
      </c>
      <c r="M17" s="105" t="s">
        <v>115</v>
      </c>
      <c r="N17" s="105"/>
      <c r="O17" s="107" t="s">
        <v>101</v>
      </c>
    </row>
    <row r="18" spans="2:15">
      <c r="B18" s="104">
        <v>21</v>
      </c>
      <c r="C18" s="105" t="s">
        <v>138</v>
      </c>
      <c r="D18" s="106" t="s">
        <v>93</v>
      </c>
      <c r="E18" s="105">
        <v>120</v>
      </c>
      <c r="F18" s="105">
        <v>3</v>
      </c>
      <c r="G18" s="105">
        <v>55</v>
      </c>
      <c r="H18" s="106"/>
      <c r="I18" s="106"/>
      <c r="J18" s="106">
        <v>2230</v>
      </c>
      <c r="K18" s="106"/>
      <c r="L18" s="106"/>
      <c r="M18" s="105"/>
      <c r="N18" s="105" t="s">
        <v>115</v>
      </c>
      <c r="O18" s="107" t="s">
        <v>139</v>
      </c>
    </row>
    <row r="19" spans="2:15">
      <c r="B19" s="104">
        <v>26</v>
      </c>
      <c r="C19" s="105"/>
      <c r="D19" s="106" t="s">
        <v>93</v>
      </c>
      <c r="E19" s="105">
        <v>98</v>
      </c>
      <c r="F19" s="105">
        <v>4</v>
      </c>
      <c r="G19" s="105">
        <v>25</v>
      </c>
      <c r="H19" s="106">
        <v>3</v>
      </c>
      <c r="I19" s="106"/>
      <c r="J19" s="106"/>
      <c r="K19" s="106"/>
      <c r="L19" s="106">
        <v>6</v>
      </c>
      <c r="M19" s="105"/>
      <c r="N19" s="105"/>
      <c r="O19" s="107" t="s">
        <v>101</v>
      </c>
    </row>
    <row r="20" spans="2:15">
      <c r="B20" s="104">
        <v>27</v>
      </c>
      <c r="C20" s="105" t="s">
        <v>141</v>
      </c>
      <c r="D20" s="106" t="s">
        <v>93</v>
      </c>
      <c r="E20" s="105">
        <v>70</v>
      </c>
      <c r="F20" s="105">
        <v>4</v>
      </c>
      <c r="G20" s="105">
        <v>20</v>
      </c>
      <c r="H20" s="106">
        <v>2</v>
      </c>
      <c r="I20" s="106"/>
      <c r="J20" s="106"/>
      <c r="K20" s="106"/>
      <c r="L20" s="106">
        <v>3</v>
      </c>
      <c r="M20" s="105"/>
      <c r="N20" s="105" t="s">
        <v>115</v>
      </c>
      <c r="O20" s="107" t="s">
        <v>101</v>
      </c>
    </row>
    <row r="21" spans="2:15">
      <c r="B21" s="104">
        <v>36</v>
      </c>
      <c r="C21" s="105" t="s">
        <v>143</v>
      </c>
      <c r="D21" s="106" t="s">
        <v>95</v>
      </c>
      <c r="E21" s="105">
        <v>81</v>
      </c>
      <c r="F21" s="105">
        <v>5</v>
      </c>
      <c r="G21" s="105">
        <v>106</v>
      </c>
      <c r="H21" s="106">
        <v>3</v>
      </c>
      <c r="I21" s="106"/>
      <c r="J21" s="106"/>
      <c r="K21" s="106"/>
      <c r="L21" s="106"/>
      <c r="M21" s="105" t="s">
        <v>115</v>
      </c>
      <c r="N21" s="105"/>
      <c r="O21" s="107"/>
    </row>
    <row r="22" spans="2:15">
      <c r="B22" s="104">
        <v>41</v>
      </c>
      <c r="C22" s="105" t="s">
        <v>144</v>
      </c>
      <c r="D22" s="106" t="s">
        <v>93</v>
      </c>
      <c r="E22" s="105">
        <v>165</v>
      </c>
      <c r="F22" s="105">
        <v>5</v>
      </c>
      <c r="G22" s="105">
        <v>1</v>
      </c>
      <c r="H22" s="106">
        <v>5</v>
      </c>
      <c r="I22" s="106"/>
      <c r="J22" s="106"/>
      <c r="K22" s="106"/>
      <c r="L22" s="106"/>
      <c r="M22" s="105"/>
      <c r="N22" s="105" t="s">
        <v>115</v>
      </c>
      <c r="O22" s="107" t="s">
        <v>94</v>
      </c>
    </row>
    <row r="23" spans="2:15">
      <c r="B23" s="104">
        <v>42</v>
      </c>
      <c r="C23" s="105" t="s">
        <v>145</v>
      </c>
      <c r="D23" s="106" t="s">
        <v>93</v>
      </c>
      <c r="E23" s="105">
        <v>180</v>
      </c>
      <c r="F23" s="105">
        <v>4</v>
      </c>
      <c r="G23" s="105">
        <v>17</v>
      </c>
      <c r="H23" s="106">
        <v>3</v>
      </c>
      <c r="I23" s="106"/>
      <c r="J23" s="106"/>
      <c r="K23" s="106"/>
      <c r="L23" s="106"/>
      <c r="M23" s="105" t="s">
        <v>115</v>
      </c>
      <c r="N23" s="105"/>
      <c r="O23" s="107" t="s">
        <v>134</v>
      </c>
    </row>
    <row r="24" spans="2:15">
      <c r="B24" s="104">
        <v>47</v>
      </c>
      <c r="C24" s="105"/>
      <c r="D24" s="106" t="s">
        <v>93</v>
      </c>
      <c r="E24" s="105">
        <v>133</v>
      </c>
      <c r="F24" s="105">
        <v>3</v>
      </c>
      <c r="G24" s="105">
        <v>30</v>
      </c>
      <c r="H24" s="106">
        <v>5</v>
      </c>
      <c r="I24" s="106"/>
      <c r="J24" s="106"/>
      <c r="K24" s="106"/>
      <c r="L24" s="106"/>
      <c r="M24" s="105"/>
      <c r="N24" s="105" t="s">
        <v>115</v>
      </c>
      <c r="O24" s="107" t="s">
        <v>101</v>
      </c>
    </row>
    <row r="25" spans="2:15">
      <c r="B25" s="104">
        <v>49</v>
      </c>
      <c r="C25" s="105" t="s">
        <v>146</v>
      </c>
      <c r="D25" s="106" t="s">
        <v>93</v>
      </c>
      <c r="E25" s="105">
        <v>100</v>
      </c>
      <c r="F25" s="105">
        <v>5</v>
      </c>
      <c r="G25" s="105">
        <v>30</v>
      </c>
      <c r="H25" s="106">
        <v>4</v>
      </c>
      <c r="I25" s="106"/>
      <c r="J25" s="106"/>
      <c r="K25" s="106"/>
      <c r="L25" s="106"/>
      <c r="M25" s="105"/>
      <c r="N25" s="105" t="s">
        <v>115</v>
      </c>
      <c r="O25" s="107" t="s">
        <v>101</v>
      </c>
    </row>
    <row r="26" spans="2:15">
      <c r="B26" s="104">
        <v>54</v>
      </c>
      <c r="C26" s="105" t="s">
        <v>149</v>
      </c>
      <c r="D26" s="106" t="s">
        <v>93</v>
      </c>
      <c r="E26" s="105">
        <v>350</v>
      </c>
      <c r="F26" s="105">
        <v>9</v>
      </c>
      <c r="G26" s="105">
        <v>30</v>
      </c>
      <c r="H26" s="106">
        <v>5</v>
      </c>
      <c r="I26" s="106"/>
      <c r="J26" s="106"/>
      <c r="K26" s="106"/>
      <c r="L26" s="106"/>
      <c r="M26" s="105"/>
      <c r="N26" s="105" t="s">
        <v>115</v>
      </c>
      <c r="O26" s="107" t="s">
        <v>150</v>
      </c>
    </row>
    <row r="27" spans="2:15">
      <c r="B27" s="104">
        <v>57</v>
      </c>
      <c r="C27" s="105"/>
      <c r="D27" s="106" t="s">
        <v>93</v>
      </c>
      <c r="E27" s="105">
        <v>120</v>
      </c>
      <c r="F27" s="105">
        <v>4</v>
      </c>
      <c r="G27" s="105">
        <v>30</v>
      </c>
      <c r="H27" s="106">
        <v>2</v>
      </c>
      <c r="I27" s="106"/>
      <c r="J27" s="106"/>
      <c r="K27" s="106"/>
      <c r="L27" s="106"/>
      <c r="M27" s="105"/>
      <c r="N27" s="105" t="s">
        <v>115</v>
      </c>
      <c r="O27" s="107" t="s">
        <v>101</v>
      </c>
    </row>
    <row r="28" spans="2:15">
      <c r="B28" s="104">
        <v>64</v>
      </c>
      <c r="C28" s="105"/>
      <c r="D28" s="106" t="s">
        <v>93</v>
      </c>
      <c r="E28" s="105">
        <v>147</v>
      </c>
      <c r="F28" s="105">
        <v>4</v>
      </c>
      <c r="G28" s="105">
        <v>7</v>
      </c>
      <c r="H28" s="106">
        <v>6</v>
      </c>
      <c r="I28" s="106"/>
      <c r="J28" s="106"/>
      <c r="K28" s="106"/>
      <c r="L28" s="106"/>
      <c r="M28" s="105"/>
      <c r="N28" s="105" t="s">
        <v>115</v>
      </c>
      <c r="O28" s="107" t="s">
        <v>96</v>
      </c>
    </row>
    <row r="29" spans="2:15">
      <c r="B29" s="104">
        <v>65</v>
      </c>
      <c r="C29" s="105" t="s">
        <v>151</v>
      </c>
      <c r="D29" s="106" t="s">
        <v>93</v>
      </c>
      <c r="E29" s="105">
        <v>135</v>
      </c>
      <c r="F29" s="105">
        <v>4</v>
      </c>
      <c r="G29" s="105">
        <v>6</v>
      </c>
      <c r="H29" s="106">
        <v>4</v>
      </c>
      <c r="I29" s="106"/>
      <c r="J29" s="106"/>
      <c r="K29" s="106"/>
      <c r="L29" s="106"/>
      <c r="M29" s="105" t="s">
        <v>115</v>
      </c>
      <c r="N29" s="105"/>
      <c r="O29" s="107" t="s">
        <v>2</v>
      </c>
    </row>
    <row r="30" spans="2:15">
      <c r="B30" s="108">
        <v>70</v>
      </c>
      <c r="C30" s="105" t="s">
        <v>152</v>
      </c>
      <c r="D30" s="109" t="s">
        <v>93</v>
      </c>
      <c r="E30" s="110">
        <v>120</v>
      </c>
      <c r="F30" s="110">
        <v>4</v>
      </c>
      <c r="G30" s="110">
        <v>60</v>
      </c>
      <c r="H30" s="109">
        <v>4</v>
      </c>
      <c r="I30" s="109"/>
      <c r="J30" s="109"/>
      <c r="K30" s="109"/>
      <c r="L30" s="109" t="s">
        <v>115</v>
      </c>
      <c r="M30" s="110"/>
      <c r="N30" s="110" t="s">
        <v>115</v>
      </c>
      <c r="O30" s="111" t="s">
        <v>101</v>
      </c>
    </row>
    <row r="31" spans="2:15">
      <c r="B31" s="108">
        <v>74</v>
      </c>
      <c r="C31" s="110"/>
      <c r="D31" s="109" t="s">
        <v>93</v>
      </c>
      <c r="E31" s="110">
        <v>160</v>
      </c>
      <c r="F31" s="110">
        <v>4</v>
      </c>
      <c r="G31" s="110">
        <v>4</v>
      </c>
      <c r="H31" s="109"/>
      <c r="I31" s="109"/>
      <c r="J31" s="109">
        <v>1500</v>
      </c>
      <c r="K31" s="109"/>
      <c r="L31" s="109"/>
      <c r="M31" s="110"/>
      <c r="N31" s="110" t="s">
        <v>115</v>
      </c>
      <c r="O31" s="111" t="s">
        <v>94</v>
      </c>
    </row>
    <row r="32" spans="2:15">
      <c r="B32" s="108">
        <v>75</v>
      </c>
      <c r="C32" s="110" t="s">
        <v>153</v>
      </c>
      <c r="D32" s="109" t="s">
        <v>95</v>
      </c>
      <c r="E32" s="110">
        <v>534.54999999999995</v>
      </c>
      <c r="F32" s="110">
        <v>15</v>
      </c>
      <c r="G32" s="110">
        <v>28</v>
      </c>
      <c r="H32" s="109"/>
      <c r="I32" s="109"/>
      <c r="J32" s="109">
        <v>88576</v>
      </c>
      <c r="K32" s="109"/>
      <c r="L32" s="109"/>
      <c r="M32" s="110"/>
      <c r="N32" s="110" t="s">
        <v>115</v>
      </c>
      <c r="O32" s="111" t="s">
        <v>125</v>
      </c>
    </row>
    <row r="33" spans="2:15">
      <c r="B33" s="108">
        <v>76</v>
      </c>
      <c r="C33" s="110" t="s">
        <v>142</v>
      </c>
      <c r="D33" s="109" t="s">
        <v>93</v>
      </c>
      <c r="E33" s="110">
        <v>60</v>
      </c>
      <c r="F33" s="110">
        <v>5</v>
      </c>
      <c r="G33" s="110">
        <v>80</v>
      </c>
      <c r="H33" s="109"/>
      <c r="I33" s="109"/>
      <c r="J33" s="109"/>
      <c r="K33" s="109"/>
      <c r="L33" s="109">
        <v>5</v>
      </c>
      <c r="M33" s="110"/>
      <c r="N33" s="110" t="s">
        <v>115</v>
      </c>
      <c r="O33" s="111"/>
    </row>
    <row r="34" spans="2:15">
      <c r="B34" s="108">
        <v>77</v>
      </c>
      <c r="C34" s="110"/>
      <c r="D34" s="109" t="s">
        <v>93</v>
      </c>
      <c r="E34" s="110">
        <v>60</v>
      </c>
      <c r="F34" s="110">
        <v>6</v>
      </c>
      <c r="G34" s="110">
        <v>30</v>
      </c>
      <c r="H34" s="109">
        <v>5</v>
      </c>
      <c r="I34" s="109"/>
      <c r="J34" s="109"/>
      <c r="K34" s="109"/>
      <c r="L34" s="109"/>
      <c r="M34" s="110"/>
      <c r="N34" s="110" t="s">
        <v>115</v>
      </c>
      <c r="O34" s="111"/>
    </row>
    <row r="35" spans="2:15">
      <c r="B35" s="108">
        <v>79</v>
      </c>
      <c r="C35" s="110" t="s">
        <v>154</v>
      </c>
      <c r="D35" s="109" t="s">
        <v>95</v>
      </c>
      <c r="E35" s="110">
        <v>62</v>
      </c>
      <c r="F35" s="110">
        <v>4</v>
      </c>
      <c r="G35" s="110">
        <v>100</v>
      </c>
      <c r="H35" s="109">
        <v>3</v>
      </c>
      <c r="I35" s="109"/>
      <c r="J35" s="109"/>
      <c r="K35" s="109"/>
      <c r="L35" s="109"/>
      <c r="M35" s="110"/>
      <c r="N35" s="110" t="s">
        <v>115</v>
      </c>
      <c r="O35" s="111" t="s">
        <v>101</v>
      </c>
    </row>
    <row r="36" spans="2:15">
      <c r="B36" s="108">
        <v>81</v>
      </c>
      <c r="C36" s="110" t="s">
        <v>155</v>
      </c>
      <c r="D36" s="109" t="s">
        <v>93</v>
      </c>
      <c r="E36" s="110">
        <v>240</v>
      </c>
      <c r="F36" s="110">
        <v>10</v>
      </c>
      <c r="G36" s="110">
        <v>5</v>
      </c>
      <c r="H36" s="109">
        <v>7</v>
      </c>
      <c r="I36" s="109"/>
      <c r="J36" s="109"/>
      <c r="K36" s="109"/>
      <c r="L36" s="109"/>
      <c r="M36" s="110" t="s">
        <v>115</v>
      </c>
      <c r="N36" s="110"/>
      <c r="O36" s="111" t="s">
        <v>94</v>
      </c>
    </row>
    <row r="37" spans="2:15">
      <c r="B37" s="108">
        <v>82</v>
      </c>
      <c r="C37" s="110"/>
      <c r="D37" s="109" t="s">
        <v>93</v>
      </c>
      <c r="E37" s="110">
        <v>200</v>
      </c>
      <c r="F37" s="110">
        <v>5</v>
      </c>
      <c r="G37" s="110">
        <v>19</v>
      </c>
      <c r="H37" s="109"/>
      <c r="I37" s="109"/>
      <c r="J37" s="109">
        <v>3200</v>
      </c>
      <c r="K37" s="109"/>
      <c r="L37" s="109"/>
      <c r="M37" s="110"/>
      <c r="N37" s="110" t="s">
        <v>115</v>
      </c>
      <c r="O37" s="111" t="s">
        <v>101</v>
      </c>
    </row>
    <row r="38" spans="2:15">
      <c r="B38" s="108">
        <v>84</v>
      </c>
      <c r="C38" s="110" t="s">
        <v>156</v>
      </c>
      <c r="D38" s="109" t="s">
        <v>93</v>
      </c>
      <c r="E38" s="110">
        <v>135</v>
      </c>
      <c r="F38" s="110">
        <v>3</v>
      </c>
      <c r="G38" s="110">
        <v>5</v>
      </c>
      <c r="H38" s="109">
        <v>3.5</v>
      </c>
      <c r="I38" s="109"/>
      <c r="J38" s="109"/>
      <c r="K38" s="109"/>
      <c r="L38" s="109"/>
      <c r="M38" s="110"/>
      <c r="N38" s="110" t="s">
        <v>115</v>
      </c>
      <c r="O38" s="111" t="s">
        <v>101</v>
      </c>
    </row>
    <row r="39" spans="2:15">
      <c r="B39" s="108">
        <v>88</v>
      </c>
      <c r="C39" s="110" t="s">
        <v>157</v>
      </c>
      <c r="D39" s="109" t="s">
        <v>93</v>
      </c>
      <c r="E39" s="110">
        <v>150</v>
      </c>
      <c r="F39" s="110">
        <v>5</v>
      </c>
      <c r="G39" s="110">
        <v>55</v>
      </c>
      <c r="H39" s="109"/>
      <c r="I39" s="109"/>
      <c r="J39" s="109">
        <v>1000</v>
      </c>
      <c r="K39" s="109"/>
      <c r="L39" s="109"/>
      <c r="M39" s="110" t="s">
        <v>115</v>
      </c>
      <c r="N39" s="110"/>
      <c r="O39" s="111" t="s">
        <v>134</v>
      </c>
    </row>
    <row r="40" spans="2:15">
      <c r="B40" s="108">
        <v>89</v>
      </c>
      <c r="C40" s="110" t="s">
        <v>158</v>
      </c>
      <c r="D40" s="109" t="s">
        <v>93</v>
      </c>
      <c r="E40" s="110">
        <v>120</v>
      </c>
      <c r="F40" s="110">
        <v>3</v>
      </c>
      <c r="G40" s="110">
        <v>40</v>
      </c>
      <c r="H40" s="109"/>
      <c r="I40" s="109"/>
      <c r="J40" s="109">
        <v>2600</v>
      </c>
      <c r="K40" s="109"/>
      <c r="L40" s="109"/>
      <c r="M40" s="110"/>
      <c r="N40" s="110" t="s">
        <v>115</v>
      </c>
      <c r="O40" s="111" t="s">
        <v>101</v>
      </c>
    </row>
    <row r="41" spans="2:15">
      <c r="B41" s="108">
        <v>90</v>
      </c>
      <c r="C41" s="110" t="s">
        <v>159</v>
      </c>
      <c r="D41" s="109" t="s">
        <v>93</v>
      </c>
      <c r="E41" s="110">
        <v>98</v>
      </c>
      <c r="F41" s="110">
        <v>4</v>
      </c>
      <c r="G41" s="110">
        <v>12</v>
      </c>
      <c r="H41" s="109"/>
      <c r="I41" s="109"/>
      <c r="J41" s="109">
        <v>1500</v>
      </c>
      <c r="K41" s="109"/>
      <c r="L41" s="109"/>
      <c r="M41" s="110" t="s">
        <v>115</v>
      </c>
      <c r="N41" s="110"/>
      <c r="O41" s="111" t="s">
        <v>96</v>
      </c>
    </row>
    <row r="42" spans="2:15">
      <c r="B42" s="108">
        <v>91</v>
      </c>
      <c r="C42" s="110"/>
      <c r="D42" s="109" t="s">
        <v>93</v>
      </c>
      <c r="E42" s="110">
        <v>200</v>
      </c>
      <c r="F42" s="110">
        <v>4</v>
      </c>
      <c r="G42" s="110">
        <v>4</v>
      </c>
      <c r="H42" s="109">
        <v>3</v>
      </c>
      <c r="I42" s="109"/>
      <c r="J42" s="109"/>
      <c r="K42" s="109"/>
      <c r="L42" s="109"/>
      <c r="M42" s="110"/>
      <c r="N42" s="110" t="s">
        <v>115</v>
      </c>
      <c r="O42" s="107" t="s">
        <v>134</v>
      </c>
    </row>
    <row r="43" spans="2:15">
      <c r="B43" s="108">
        <v>98</v>
      </c>
      <c r="C43" s="110"/>
      <c r="D43" s="109" t="s">
        <v>93</v>
      </c>
      <c r="E43" s="110">
        <v>222</v>
      </c>
      <c r="F43" s="110">
        <v>6</v>
      </c>
      <c r="G43" s="110">
        <v>20</v>
      </c>
      <c r="H43" s="109">
        <v>5</v>
      </c>
      <c r="I43" s="109"/>
      <c r="J43" s="109"/>
      <c r="K43" s="109"/>
      <c r="L43" s="109"/>
      <c r="M43" s="110"/>
      <c r="N43" s="110" t="s">
        <v>115</v>
      </c>
      <c r="O43" s="111" t="s">
        <v>94</v>
      </c>
    </row>
    <row r="44" spans="2:15">
      <c r="B44" s="108">
        <v>99</v>
      </c>
      <c r="C44" s="110"/>
      <c r="D44" s="109" t="s">
        <v>93</v>
      </c>
      <c r="E44" s="110">
        <v>106</v>
      </c>
      <c r="F44" s="110">
        <v>4</v>
      </c>
      <c r="G44" s="110">
        <v>45</v>
      </c>
      <c r="H44" s="109"/>
      <c r="I44" s="109"/>
      <c r="J44" s="109">
        <v>4000</v>
      </c>
      <c r="K44" s="109"/>
      <c r="L44" s="109"/>
      <c r="M44" s="110"/>
      <c r="N44" s="110" t="s">
        <v>115</v>
      </c>
      <c r="O44" s="111" t="s">
        <v>101</v>
      </c>
    </row>
    <row r="45" spans="2:15">
      <c r="B45" s="108">
        <v>111</v>
      </c>
      <c r="C45" s="110" t="s">
        <v>160</v>
      </c>
      <c r="D45" s="109" t="s">
        <v>93</v>
      </c>
      <c r="E45" s="110">
        <v>74</v>
      </c>
      <c r="F45" s="110">
        <v>2</v>
      </c>
      <c r="G45" s="110">
        <v>80</v>
      </c>
      <c r="H45" s="109"/>
      <c r="I45" s="109"/>
      <c r="J45" s="109">
        <v>12500</v>
      </c>
      <c r="K45" s="109"/>
      <c r="L45" s="109"/>
      <c r="M45" s="110"/>
      <c r="N45" s="110" t="s">
        <v>115</v>
      </c>
      <c r="O45" s="111" t="s">
        <v>101</v>
      </c>
    </row>
    <row r="46" spans="2:15">
      <c r="B46" s="108">
        <v>112</v>
      </c>
      <c r="C46" s="110" t="s">
        <v>161</v>
      </c>
      <c r="D46" s="109" t="s">
        <v>93</v>
      </c>
      <c r="E46" s="110">
        <v>120</v>
      </c>
      <c r="F46" s="110">
        <v>3</v>
      </c>
      <c r="G46" s="110">
        <v>45</v>
      </c>
      <c r="H46" s="109"/>
      <c r="I46" s="109"/>
      <c r="J46" s="109">
        <v>2230</v>
      </c>
      <c r="K46" s="109"/>
      <c r="L46" s="109"/>
      <c r="M46" s="110" t="s">
        <v>115</v>
      </c>
      <c r="N46" s="110"/>
      <c r="O46" s="111" t="s">
        <v>94</v>
      </c>
    </row>
    <row r="47" spans="2:15">
      <c r="B47" s="108">
        <v>113</v>
      </c>
      <c r="C47" s="110" t="s">
        <v>162</v>
      </c>
      <c r="D47" s="109" t="s">
        <v>93</v>
      </c>
      <c r="E47" s="110">
        <v>108</v>
      </c>
      <c r="F47" s="110">
        <v>2</v>
      </c>
      <c r="G47" s="110">
        <v>43</v>
      </c>
      <c r="H47" s="109"/>
      <c r="I47" s="109"/>
      <c r="J47" s="109">
        <v>1500</v>
      </c>
      <c r="K47" s="109"/>
      <c r="L47" s="109"/>
      <c r="M47" s="110"/>
      <c r="N47" s="110" t="s">
        <v>115</v>
      </c>
      <c r="O47" s="111" t="s">
        <v>101</v>
      </c>
    </row>
    <row r="48" spans="2:15">
      <c r="B48" s="108">
        <v>114</v>
      </c>
      <c r="C48" s="110" t="s">
        <v>163</v>
      </c>
      <c r="D48" s="109" t="s">
        <v>93</v>
      </c>
      <c r="E48" s="110">
        <v>200</v>
      </c>
      <c r="F48" s="110">
        <v>5</v>
      </c>
      <c r="G48" s="110">
        <v>20</v>
      </c>
      <c r="H48" s="109">
        <v>6</v>
      </c>
      <c r="I48" s="109"/>
      <c r="J48" s="109"/>
      <c r="K48" s="109"/>
      <c r="L48" s="109" t="s">
        <v>115</v>
      </c>
      <c r="M48" s="110"/>
      <c r="N48" s="110" t="s">
        <v>115</v>
      </c>
      <c r="O48" s="111" t="s">
        <v>101</v>
      </c>
    </row>
    <row r="49" spans="2:15">
      <c r="B49" s="108">
        <v>118</v>
      </c>
      <c r="C49" s="110" t="s">
        <v>164</v>
      </c>
      <c r="D49" s="109" t="s">
        <v>93</v>
      </c>
      <c r="E49" s="110">
        <v>110</v>
      </c>
      <c r="F49" s="110">
        <v>2</v>
      </c>
      <c r="G49" s="110">
        <v>55</v>
      </c>
      <c r="H49" s="109"/>
      <c r="I49" s="109"/>
      <c r="J49" s="109">
        <v>3200</v>
      </c>
      <c r="K49" s="109"/>
      <c r="L49" s="109"/>
      <c r="M49" s="110"/>
      <c r="N49" s="110" t="s">
        <v>115</v>
      </c>
      <c r="O49" s="111" t="s">
        <v>101</v>
      </c>
    </row>
    <row r="50" spans="2:15">
      <c r="B50" s="108">
        <v>119</v>
      </c>
      <c r="C50" s="110" t="s">
        <v>165</v>
      </c>
      <c r="D50" s="109" t="s">
        <v>93</v>
      </c>
      <c r="E50" s="110">
        <v>125</v>
      </c>
      <c r="F50" s="110">
        <v>5</v>
      </c>
      <c r="G50" s="110">
        <v>36</v>
      </c>
      <c r="H50" s="109">
        <v>4</v>
      </c>
      <c r="I50" s="109"/>
      <c r="J50" s="109"/>
      <c r="K50" s="109"/>
      <c r="L50" s="109"/>
      <c r="M50" s="110"/>
      <c r="N50" s="110" t="s">
        <v>115</v>
      </c>
      <c r="O50" s="111"/>
    </row>
    <row r="51" spans="2:15">
      <c r="B51" s="108">
        <v>120</v>
      </c>
      <c r="C51" s="110" t="s">
        <v>166</v>
      </c>
      <c r="D51" s="109" t="s">
        <v>95</v>
      </c>
      <c r="E51" s="110">
        <v>120</v>
      </c>
      <c r="F51" s="110">
        <v>7</v>
      </c>
      <c r="G51" s="110">
        <v>30</v>
      </c>
      <c r="H51" s="109">
        <v>2.5</v>
      </c>
      <c r="I51" s="109"/>
      <c r="J51" s="109"/>
      <c r="K51" s="109"/>
      <c r="L51" s="109" t="s">
        <v>115</v>
      </c>
      <c r="M51" s="110"/>
      <c r="N51" s="110" t="s">
        <v>115</v>
      </c>
      <c r="O51" s="111" t="s">
        <v>134</v>
      </c>
    </row>
    <row r="52" spans="2:15">
      <c r="B52" s="108">
        <v>121</v>
      </c>
      <c r="C52" s="110" t="s">
        <v>167</v>
      </c>
      <c r="D52" s="109" t="s">
        <v>93</v>
      </c>
      <c r="E52" s="110">
        <v>90</v>
      </c>
      <c r="F52" s="110">
        <v>2</v>
      </c>
      <c r="G52" s="110">
        <v>46</v>
      </c>
      <c r="H52" s="109">
        <v>3</v>
      </c>
      <c r="I52" s="109"/>
      <c r="J52" s="109">
        <v>656</v>
      </c>
      <c r="K52" s="109"/>
      <c r="L52" s="109"/>
      <c r="M52" s="110"/>
      <c r="N52" s="110" t="s">
        <v>115</v>
      </c>
      <c r="O52" s="111"/>
    </row>
    <row r="53" spans="2:15">
      <c r="B53" s="108">
        <v>122</v>
      </c>
      <c r="C53" s="110" t="s">
        <v>168</v>
      </c>
      <c r="D53" s="109" t="s">
        <v>93</v>
      </c>
      <c r="E53" s="110">
        <v>95</v>
      </c>
      <c r="F53" s="110">
        <v>2</v>
      </c>
      <c r="G53" s="110">
        <v>50</v>
      </c>
      <c r="H53" s="109">
        <v>1.5</v>
      </c>
      <c r="I53" s="109"/>
      <c r="J53" s="109">
        <v>1000</v>
      </c>
      <c r="K53" s="109"/>
      <c r="L53" s="109"/>
      <c r="M53" s="110"/>
      <c r="N53" s="110" t="s">
        <v>115</v>
      </c>
      <c r="O53" s="111" t="s">
        <v>101</v>
      </c>
    </row>
    <row r="54" spans="2:15">
      <c r="B54" s="108">
        <v>123</v>
      </c>
      <c r="C54" s="110" t="s">
        <v>169</v>
      </c>
      <c r="D54" s="109" t="s">
        <v>93</v>
      </c>
      <c r="E54" s="110">
        <v>81</v>
      </c>
      <c r="F54" s="110">
        <v>2</v>
      </c>
      <c r="G54" s="110">
        <v>60</v>
      </c>
      <c r="H54" s="109"/>
      <c r="I54" s="109"/>
      <c r="J54" s="109">
        <v>1800</v>
      </c>
      <c r="K54" s="109"/>
      <c r="L54" s="109"/>
      <c r="M54" s="110"/>
      <c r="N54" s="110" t="s">
        <v>115</v>
      </c>
      <c r="O54" s="111" t="s">
        <v>101</v>
      </c>
    </row>
    <row r="55" spans="2:15">
      <c r="B55" s="108">
        <v>126</v>
      </c>
      <c r="C55" s="110" t="s">
        <v>170</v>
      </c>
      <c r="D55" s="109" t="s">
        <v>93</v>
      </c>
      <c r="E55" s="110">
        <v>160</v>
      </c>
      <c r="F55" s="110">
        <v>2</v>
      </c>
      <c r="G55" s="110">
        <v>40</v>
      </c>
      <c r="H55" s="109"/>
      <c r="I55" s="109"/>
      <c r="J55" s="109">
        <v>2400</v>
      </c>
      <c r="K55" s="109"/>
      <c r="L55" s="109"/>
      <c r="M55" s="110"/>
      <c r="N55" s="110" t="s">
        <v>115</v>
      </c>
      <c r="O55" s="111" t="s">
        <v>101</v>
      </c>
    </row>
    <row r="56" spans="2:15">
      <c r="B56" s="108">
        <v>127</v>
      </c>
      <c r="C56" s="110" t="s">
        <v>171</v>
      </c>
      <c r="D56" s="109" t="s">
        <v>93</v>
      </c>
      <c r="E56" s="110">
        <v>180</v>
      </c>
      <c r="F56" s="110">
        <v>2</v>
      </c>
      <c r="G56" s="110">
        <v>54</v>
      </c>
      <c r="H56" s="109"/>
      <c r="I56" s="109"/>
      <c r="J56" s="109">
        <v>2500</v>
      </c>
      <c r="K56" s="109">
        <v>3.8140000000000001</v>
      </c>
      <c r="L56" s="109">
        <v>4</v>
      </c>
      <c r="M56" s="110"/>
      <c r="N56" s="110" t="s">
        <v>115</v>
      </c>
      <c r="O56" s="111" t="s">
        <v>101</v>
      </c>
    </row>
    <row r="57" spans="2:15">
      <c r="B57" s="108">
        <v>128</v>
      </c>
      <c r="C57" s="110" t="s">
        <v>172</v>
      </c>
      <c r="D57" s="109" t="s">
        <v>93</v>
      </c>
      <c r="E57" s="110">
        <v>220</v>
      </c>
      <c r="F57" s="110">
        <v>3</v>
      </c>
      <c r="G57" s="110">
        <v>40</v>
      </c>
      <c r="H57" s="109">
        <v>1</v>
      </c>
      <c r="I57" s="109"/>
      <c r="J57" s="109">
        <v>7000</v>
      </c>
      <c r="K57" s="109"/>
      <c r="L57" s="109"/>
      <c r="M57" s="110"/>
      <c r="N57" s="110" t="s">
        <v>115</v>
      </c>
      <c r="O57" s="111" t="s">
        <v>125</v>
      </c>
    </row>
    <row r="58" spans="2:15">
      <c r="B58" s="108">
        <v>129</v>
      </c>
      <c r="C58" s="110" t="s">
        <v>173</v>
      </c>
      <c r="D58" s="109" t="s">
        <v>93</v>
      </c>
      <c r="E58" s="110">
        <v>60</v>
      </c>
      <c r="F58" s="110">
        <v>2</v>
      </c>
      <c r="G58" s="110">
        <v>100</v>
      </c>
      <c r="H58" s="109"/>
      <c r="I58" s="109"/>
      <c r="J58" s="109">
        <v>1500</v>
      </c>
      <c r="K58" s="109"/>
      <c r="L58" s="109"/>
      <c r="M58" s="110"/>
      <c r="N58" s="110" t="s">
        <v>115</v>
      </c>
      <c r="O58" s="111" t="s">
        <v>101</v>
      </c>
    </row>
    <row r="59" spans="2:15">
      <c r="B59" s="108">
        <v>131</v>
      </c>
      <c r="C59" s="110" t="s">
        <v>174</v>
      </c>
      <c r="D59" s="109" t="s">
        <v>93</v>
      </c>
      <c r="E59" s="110">
        <v>80</v>
      </c>
      <c r="F59" s="110">
        <v>2</v>
      </c>
      <c r="G59" s="110">
        <v>40</v>
      </c>
      <c r="H59" s="109">
        <v>4</v>
      </c>
      <c r="I59" s="109"/>
      <c r="J59" s="109"/>
      <c r="K59" s="109"/>
      <c r="L59" s="109"/>
      <c r="M59" s="110" t="s">
        <v>115</v>
      </c>
      <c r="N59" s="110"/>
      <c r="O59" s="111"/>
    </row>
    <row r="60" spans="2:15">
      <c r="B60" s="108">
        <v>132</v>
      </c>
      <c r="C60" s="110" t="s">
        <v>175</v>
      </c>
      <c r="D60" s="109" t="s">
        <v>93</v>
      </c>
      <c r="E60" s="110">
        <v>146</v>
      </c>
      <c r="F60" s="110">
        <v>3</v>
      </c>
      <c r="G60" s="110">
        <v>44</v>
      </c>
      <c r="H60" s="109">
        <v>5</v>
      </c>
      <c r="I60" s="109"/>
      <c r="J60" s="109"/>
      <c r="K60" s="109"/>
      <c r="L60" s="109"/>
      <c r="M60" s="110"/>
      <c r="N60" s="110" t="s">
        <v>115</v>
      </c>
      <c r="O60" s="111" t="s">
        <v>101</v>
      </c>
    </row>
    <row r="61" spans="2:15">
      <c r="B61" s="108">
        <v>133</v>
      </c>
      <c r="C61" s="110" t="s">
        <v>176</v>
      </c>
      <c r="D61" s="109" t="s">
        <v>93</v>
      </c>
      <c r="E61" s="110">
        <v>130</v>
      </c>
      <c r="F61" s="110">
        <v>2</v>
      </c>
      <c r="G61" s="110">
        <v>46</v>
      </c>
      <c r="H61" s="109"/>
      <c r="I61" s="109"/>
      <c r="J61" s="109">
        <v>1136</v>
      </c>
      <c r="K61" s="109"/>
      <c r="L61" s="109"/>
      <c r="M61" s="110"/>
      <c r="N61" s="110" t="s">
        <v>115</v>
      </c>
      <c r="O61" s="111" t="s">
        <v>101</v>
      </c>
    </row>
    <row r="62" spans="2:15">
      <c r="B62" s="108">
        <v>134</v>
      </c>
      <c r="C62" s="110" t="s">
        <v>177</v>
      </c>
      <c r="D62" s="109" t="s">
        <v>93</v>
      </c>
      <c r="E62" s="110">
        <v>130</v>
      </c>
      <c r="F62" s="110">
        <v>2</v>
      </c>
      <c r="G62" s="110">
        <v>50</v>
      </c>
      <c r="H62" s="109"/>
      <c r="I62" s="109"/>
      <c r="J62" s="109">
        <v>1560</v>
      </c>
      <c r="K62" s="109"/>
      <c r="L62" s="109"/>
      <c r="M62" s="110"/>
      <c r="N62" s="110" t="s">
        <v>115</v>
      </c>
      <c r="O62" s="111" t="s">
        <v>94</v>
      </c>
    </row>
    <row r="63" spans="2:15">
      <c r="B63" s="108">
        <v>135</v>
      </c>
      <c r="C63" s="110" t="s">
        <v>178</v>
      </c>
      <c r="D63" s="109" t="s">
        <v>93</v>
      </c>
      <c r="E63" s="110"/>
      <c r="F63" s="110">
        <v>5</v>
      </c>
      <c r="G63" s="110">
        <v>40</v>
      </c>
      <c r="H63" s="109"/>
      <c r="I63" s="109"/>
      <c r="J63" s="109">
        <v>10847</v>
      </c>
      <c r="K63" s="109"/>
      <c r="L63" s="109"/>
      <c r="M63" s="110"/>
      <c r="N63" s="110" t="s">
        <v>115</v>
      </c>
      <c r="O63" s="111"/>
    </row>
    <row r="64" spans="2:15">
      <c r="B64" s="108">
        <v>136</v>
      </c>
      <c r="C64" s="110" t="s">
        <v>179</v>
      </c>
      <c r="D64" s="109" t="s">
        <v>93</v>
      </c>
      <c r="E64" s="110">
        <v>130</v>
      </c>
      <c r="F64" s="110"/>
      <c r="G64" s="110">
        <v>100</v>
      </c>
      <c r="H64" s="109">
        <v>4</v>
      </c>
      <c r="I64" s="109"/>
      <c r="J64" s="109"/>
      <c r="K64" s="109"/>
      <c r="L64" s="109"/>
      <c r="M64" s="110"/>
      <c r="N64" s="110" t="s">
        <v>115</v>
      </c>
      <c r="O64" s="111" t="s">
        <v>94</v>
      </c>
    </row>
    <row r="65" spans="2:15">
      <c r="B65" s="108">
        <v>137</v>
      </c>
      <c r="C65" s="110" t="s">
        <v>132</v>
      </c>
      <c r="D65" s="109" t="s">
        <v>93</v>
      </c>
      <c r="E65" s="110">
        <v>110</v>
      </c>
      <c r="F65" s="110">
        <v>2</v>
      </c>
      <c r="G65" s="110">
        <v>30</v>
      </c>
      <c r="H65" s="109">
        <v>3</v>
      </c>
      <c r="I65" s="109"/>
      <c r="J65" s="109"/>
      <c r="K65" s="109"/>
      <c r="L65" s="109" t="s">
        <v>115</v>
      </c>
      <c r="M65" s="110"/>
      <c r="N65" s="110" t="s">
        <v>115</v>
      </c>
      <c r="O65" s="111"/>
    </row>
    <row r="66" spans="2:15">
      <c r="B66" s="108">
        <v>138</v>
      </c>
      <c r="C66" s="110" t="s">
        <v>180</v>
      </c>
      <c r="D66" s="109" t="s">
        <v>93</v>
      </c>
      <c r="E66" s="110">
        <v>121</v>
      </c>
      <c r="F66" s="110">
        <v>4</v>
      </c>
      <c r="G66" s="110">
        <v>36</v>
      </c>
      <c r="H66" s="109">
        <v>5</v>
      </c>
      <c r="I66" s="109"/>
      <c r="J66" s="109"/>
      <c r="K66" s="109"/>
      <c r="L66" s="109"/>
      <c r="M66" s="110"/>
      <c r="N66" s="110" t="s">
        <v>115</v>
      </c>
      <c r="O66" s="111" t="s">
        <v>101</v>
      </c>
    </row>
    <row r="67" spans="2:15">
      <c r="B67" s="108">
        <v>139</v>
      </c>
      <c r="C67" s="110"/>
      <c r="D67" s="109" t="s">
        <v>93</v>
      </c>
      <c r="E67" s="110">
        <v>180</v>
      </c>
      <c r="F67" s="110">
        <v>4</v>
      </c>
      <c r="G67" s="110">
        <v>30</v>
      </c>
      <c r="H67" s="109">
        <v>3</v>
      </c>
      <c r="I67" s="109"/>
      <c r="J67" s="109"/>
      <c r="K67" s="109"/>
      <c r="L67" s="109" t="s">
        <v>115</v>
      </c>
      <c r="M67" s="110" t="s">
        <v>115</v>
      </c>
      <c r="N67" s="110"/>
      <c r="O67" s="111" t="s">
        <v>131</v>
      </c>
    </row>
    <row r="68" spans="2:15">
      <c r="B68" s="108">
        <v>140</v>
      </c>
      <c r="C68" s="110" t="s">
        <v>181</v>
      </c>
      <c r="D68" s="109" t="s">
        <v>140</v>
      </c>
      <c r="E68" s="110">
        <v>140</v>
      </c>
      <c r="F68" s="110">
        <v>2</v>
      </c>
      <c r="G68" s="110">
        <v>22</v>
      </c>
      <c r="H68" s="109">
        <v>2.5</v>
      </c>
      <c r="I68" s="109"/>
      <c r="J68" s="109"/>
      <c r="K68" s="109"/>
      <c r="L68" s="109"/>
      <c r="M68" s="110"/>
      <c r="N68" s="110" t="s">
        <v>115</v>
      </c>
      <c r="O68" s="111" t="s">
        <v>101</v>
      </c>
    </row>
    <row r="69" spans="2:15">
      <c r="B69" s="108">
        <v>141</v>
      </c>
      <c r="C69" s="110" t="s">
        <v>182</v>
      </c>
      <c r="D69" s="109" t="s">
        <v>93</v>
      </c>
      <c r="E69" s="110">
        <v>150</v>
      </c>
      <c r="F69" s="110">
        <v>5</v>
      </c>
      <c r="G69" s="110">
        <v>40</v>
      </c>
      <c r="H69" s="109">
        <v>2</v>
      </c>
      <c r="I69" s="109"/>
      <c r="J69" s="109"/>
      <c r="K69" s="109"/>
      <c r="L69" s="109" t="s">
        <v>115</v>
      </c>
      <c r="M69" s="110"/>
      <c r="N69" s="110" t="s">
        <v>115</v>
      </c>
      <c r="O69" s="111" t="s">
        <v>96</v>
      </c>
    </row>
    <row r="70" spans="2:15">
      <c r="B70" s="108">
        <v>148</v>
      </c>
      <c r="C70" s="110" t="s">
        <v>183</v>
      </c>
      <c r="D70" s="109" t="s">
        <v>93</v>
      </c>
      <c r="E70" s="110">
        <v>75</v>
      </c>
      <c r="F70" s="110">
        <v>2</v>
      </c>
      <c r="G70" s="110">
        <v>69</v>
      </c>
      <c r="H70" s="109">
        <v>3</v>
      </c>
      <c r="I70" s="109"/>
      <c r="J70" s="109">
        <v>1519</v>
      </c>
      <c r="K70" s="109"/>
      <c r="L70" s="109"/>
      <c r="M70" s="110"/>
      <c r="N70" s="110" t="s">
        <v>115</v>
      </c>
      <c r="O70" s="111"/>
    </row>
    <row r="71" spans="2:15">
      <c r="B71" s="108">
        <v>149</v>
      </c>
      <c r="C71" s="110" t="s">
        <v>184</v>
      </c>
      <c r="D71" s="109" t="s">
        <v>93</v>
      </c>
      <c r="E71" s="110">
        <v>134</v>
      </c>
      <c r="F71" s="110">
        <v>2</v>
      </c>
      <c r="G71" s="110">
        <v>11</v>
      </c>
      <c r="H71" s="109"/>
      <c r="I71" s="109"/>
      <c r="J71" s="109">
        <v>700</v>
      </c>
      <c r="K71" s="109"/>
      <c r="L71" s="109">
        <v>10</v>
      </c>
      <c r="M71" s="110"/>
      <c r="N71" s="110" t="s">
        <v>115</v>
      </c>
      <c r="O71" s="111" t="s">
        <v>94</v>
      </c>
    </row>
    <row r="72" spans="2:15">
      <c r="B72" s="108">
        <v>150</v>
      </c>
      <c r="C72" s="110" t="s">
        <v>185</v>
      </c>
      <c r="D72" s="109" t="s">
        <v>93</v>
      </c>
      <c r="E72" s="110">
        <v>120</v>
      </c>
      <c r="F72" s="110">
        <v>1</v>
      </c>
      <c r="G72" s="110">
        <v>60</v>
      </c>
      <c r="H72" s="109"/>
      <c r="I72" s="109"/>
      <c r="J72" s="109">
        <v>3000</v>
      </c>
      <c r="K72" s="109"/>
      <c r="L72" s="109"/>
      <c r="M72" s="110"/>
      <c r="N72" s="110" t="s">
        <v>115</v>
      </c>
      <c r="O72" s="111"/>
    </row>
    <row r="73" spans="2:15">
      <c r="B73" s="108">
        <v>151</v>
      </c>
      <c r="C73" s="110" t="s">
        <v>186</v>
      </c>
      <c r="D73" s="109" t="s">
        <v>93</v>
      </c>
      <c r="E73" s="110">
        <v>80</v>
      </c>
      <c r="F73" s="110">
        <v>4</v>
      </c>
      <c r="G73" s="110">
        <v>50</v>
      </c>
      <c r="H73" s="109">
        <v>3</v>
      </c>
      <c r="I73" s="109"/>
      <c r="J73" s="109"/>
      <c r="K73" s="109"/>
      <c r="L73" s="109" t="s">
        <v>115</v>
      </c>
      <c r="M73" s="110" t="s">
        <v>115</v>
      </c>
      <c r="N73" s="110"/>
      <c r="O73" s="111"/>
    </row>
    <row r="74" spans="2:15">
      <c r="B74" s="108">
        <v>152</v>
      </c>
      <c r="C74" s="110" t="s">
        <v>187</v>
      </c>
      <c r="D74" s="109" t="s">
        <v>140</v>
      </c>
      <c r="E74" s="110">
        <v>100</v>
      </c>
      <c r="F74" s="110">
        <v>1</v>
      </c>
      <c r="G74" s="110">
        <v>60</v>
      </c>
      <c r="H74" s="109"/>
      <c r="I74" s="109">
        <f>1500*Wskaźniki!C10</f>
        <v>53.550000000000004</v>
      </c>
      <c r="J74" s="109"/>
      <c r="K74" s="109"/>
      <c r="L74" s="109"/>
      <c r="M74" s="110"/>
      <c r="N74" s="110" t="s">
        <v>115</v>
      </c>
      <c r="O74" s="111"/>
    </row>
    <row r="75" spans="2:15">
      <c r="B75" s="108">
        <v>155</v>
      </c>
      <c r="C75" s="110" t="s">
        <v>188</v>
      </c>
      <c r="D75" s="109" t="s">
        <v>93</v>
      </c>
      <c r="E75" s="110">
        <v>100</v>
      </c>
      <c r="F75" s="110">
        <v>3</v>
      </c>
      <c r="G75" s="110">
        <v>50</v>
      </c>
      <c r="H75" s="109"/>
      <c r="I75" s="109"/>
      <c r="J75" s="109">
        <v>1600</v>
      </c>
      <c r="K75" s="109"/>
      <c r="L75" s="109"/>
      <c r="M75" s="110"/>
      <c r="N75" s="110" t="s">
        <v>115</v>
      </c>
      <c r="O75" s="111"/>
    </row>
    <row r="76" spans="2:15">
      <c r="B76" s="108">
        <v>156</v>
      </c>
      <c r="C76" s="110" t="s">
        <v>132</v>
      </c>
      <c r="D76" s="109" t="s">
        <v>93</v>
      </c>
      <c r="E76" s="110">
        <v>170</v>
      </c>
      <c r="F76" s="110">
        <v>3</v>
      </c>
      <c r="G76" s="110">
        <v>43</v>
      </c>
      <c r="H76" s="109">
        <v>5</v>
      </c>
      <c r="I76" s="109"/>
      <c r="J76" s="109"/>
      <c r="K76" s="109"/>
      <c r="L76" s="109"/>
      <c r="M76" s="110" t="s">
        <v>115</v>
      </c>
      <c r="N76" s="110"/>
      <c r="O76" s="111" t="s">
        <v>189</v>
      </c>
    </row>
    <row r="77" spans="2:15">
      <c r="B77" s="108">
        <v>157</v>
      </c>
      <c r="C77" s="110" t="s">
        <v>132</v>
      </c>
      <c r="D77" s="109" t="s">
        <v>93</v>
      </c>
      <c r="E77" s="110">
        <v>110</v>
      </c>
      <c r="F77" s="110">
        <v>5</v>
      </c>
      <c r="G77" s="110">
        <v>40</v>
      </c>
      <c r="H77" s="109">
        <v>4</v>
      </c>
      <c r="I77" s="109"/>
      <c r="J77" s="109"/>
      <c r="K77" s="109"/>
      <c r="L77" s="109"/>
      <c r="M77" s="110" t="s">
        <v>115</v>
      </c>
      <c r="N77" s="110"/>
      <c r="O77" s="111" t="s">
        <v>101</v>
      </c>
    </row>
    <row r="78" spans="2:15">
      <c r="B78" s="108">
        <v>158</v>
      </c>
      <c r="C78" s="110" t="s">
        <v>190</v>
      </c>
      <c r="D78" s="109" t="s">
        <v>93</v>
      </c>
      <c r="E78" s="110">
        <v>65</v>
      </c>
      <c r="F78" s="110">
        <v>4</v>
      </c>
      <c r="G78" s="110">
        <v>45</v>
      </c>
      <c r="H78" s="109"/>
      <c r="I78" s="109">
        <f>1700*Wskaźniki!C10</f>
        <v>60.690000000000005</v>
      </c>
      <c r="J78" s="109"/>
      <c r="K78" s="109"/>
      <c r="L78" s="109"/>
      <c r="M78" s="110"/>
      <c r="N78" s="110" t="s">
        <v>115</v>
      </c>
      <c r="O78" s="111"/>
    </row>
    <row r="79" spans="2:15">
      <c r="B79" s="108">
        <v>159</v>
      </c>
      <c r="C79" s="110" t="s">
        <v>147</v>
      </c>
      <c r="D79" s="109" t="s">
        <v>93</v>
      </c>
      <c r="E79" s="110">
        <v>240</v>
      </c>
      <c r="F79" s="110">
        <v>5</v>
      </c>
      <c r="G79" s="110">
        <v>30</v>
      </c>
      <c r="H79" s="109">
        <v>8</v>
      </c>
      <c r="I79" s="109"/>
      <c r="J79" s="109"/>
      <c r="K79" s="109"/>
      <c r="L79" s="109"/>
      <c r="M79" s="110" t="s">
        <v>115</v>
      </c>
      <c r="N79" s="110"/>
      <c r="O79" s="111" t="s">
        <v>125</v>
      </c>
    </row>
    <row r="80" spans="2:15">
      <c r="B80" s="108">
        <v>160</v>
      </c>
      <c r="C80" s="110" t="s">
        <v>191</v>
      </c>
      <c r="D80" s="109" t="s">
        <v>93</v>
      </c>
      <c r="E80" s="110">
        <v>110</v>
      </c>
      <c r="F80" s="110">
        <v>2</v>
      </c>
      <c r="G80" s="110">
        <v>35</v>
      </c>
      <c r="H80" s="109">
        <v>5</v>
      </c>
      <c r="I80" s="109"/>
      <c r="J80" s="109"/>
      <c r="K80" s="109"/>
      <c r="L80" s="109"/>
      <c r="M80" s="110" t="s">
        <v>115</v>
      </c>
      <c r="N80" s="110"/>
      <c r="O80" s="111"/>
    </row>
    <row r="81" spans="2:15">
      <c r="B81" s="108">
        <v>161</v>
      </c>
      <c r="C81" s="110" t="s">
        <v>192</v>
      </c>
      <c r="D81" s="109" t="s">
        <v>93</v>
      </c>
      <c r="E81" s="110">
        <v>110</v>
      </c>
      <c r="F81" s="110">
        <v>2</v>
      </c>
      <c r="G81" s="110">
        <v>41</v>
      </c>
      <c r="H81" s="109"/>
      <c r="I81" s="109"/>
      <c r="J81" s="109">
        <v>6500</v>
      </c>
      <c r="K81" s="109"/>
      <c r="L81" s="109"/>
      <c r="M81" s="110"/>
      <c r="N81" s="110" t="s">
        <v>115</v>
      </c>
      <c r="O81" s="111"/>
    </row>
    <row r="82" spans="2:15">
      <c r="B82" s="108">
        <v>163</v>
      </c>
      <c r="C82" s="110" t="s">
        <v>193</v>
      </c>
      <c r="D82" s="109" t="s">
        <v>93</v>
      </c>
      <c r="E82" s="110">
        <v>156</v>
      </c>
      <c r="F82" s="110">
        <v>2</v>
      </c>
      <c r="G82" s="110">
        <v>7</v>
      </c>
      <c r="H82" s="109"/>
      <c r="I82" s="109"/>
      <c r="J82" s="109">
        <v>1000</v>
      </c>
      <c r="K82" s="109"/>
      <c r="L82" s="109">
        <v>3</v>
      </c>
      <c r="M82" s="110"/>
      <c r="N82" s="110" t="s">
        <v>115</v>
      </c>
      <c r="O82" s="111" t="s">
        <v>101</v>
      </c>
    </row>
    <row r="83" spans="2:15">
      <c r="B83" s="108">
        <v>165</v>
      </c>
      <c r="C83" s="110" t="s">
        <v>194</v>
      </c>
      <c r="D83" s="109" t="s">
        <v>93</v>
      </c>
      <c r="E83" s="110">
        <v>110</v>
      </c>
      <c r="F83" s="110">
        <v>2</v>
      </c>
      <c r="G83" s="110">
        <v>3</v>
      </c>
      <c r="H83" s="109"/>
      <c r="I83" s="109"/>
      <c r="J83" s="109">
        <v>600</v>
      </c>
      <c r="K83" s="109"/>
      <c r="L83" s="109"/>
      <c r="M83" s="110"/>
      <c r="N83" s="110" t="s">
        <v>115</v>
      </c>
      <c r="O83" s="111" t="s">
        <v>101</v>
      </c>
    </row>
    <row r="84" spans="2:15">
      <c r="B84" s="108">
        <v>166</v>
      </c>
      <c r="C84" s="110"/>
      <c r="D84" s="109" t="s">
        <v>95</v>
      </c>
      <c r="E84" s="110">
        <v>245</v>
      </c>
      <c r="F84" s="110">
        <v>7</v>
      </c>
      <c r="G84" s="110">
        <v>25</v>
      </c>
      <c r="H84" s="109"/>
      <c r="I84" s="109"/>
      <c r="J84" s="109">
        <v>10000</v>
      </c>
      <c r="K84" s="109"/>
      <c r="L84" s="109" t="s">
        <v>115</v>
      </c>
      <c r="M84" s="110"/>
      <c r="N84" s="110" t="s">
        <v>115</v>
      </c>
      <c r="O84" s="111" t="s">
        <v>101</v>
      </c>
    </row>
    <row r="85" spans="2:15">
      <c r="B85" s="108">
        <v>168</v>
      </c>
      <c r="C85" s="110" t="s">
        <v>195</v>
      </c>
      <c r="D85" s="109" t="s">
        <v>140</v>
      </c>
      <c r="E85" s="110">
        <v>220</v>
      </c>
      <c r="F85" s="110">
        <v>1</v>
      </c>
      <c r="G85" s="110">
        <v>40</v>
      </c>
      <c r="H85" s="109"/>
      <c r="I85" s="109"/>
      <c r="J85" s="109">
        <v>4500</v>
      </c>
      <c r="K85" s="109"/>
      <c r="L85" s="109"/>
      <c r="M85" s="110" t="s">
        <v>115</v>
      </c>
      <c r="N85" s="110"/>
      <c r="O85" s="111" t="s">
        <v>134</v>
      </c>
    </row>
    <row r="86" spans="2:15">
      <c r="B86" s="108">
        <v>171</v>
      </c>
      <c r="C86" s="110"/>
      <c r="D86" s="109" t="s">
        <v>93</v>
      </c>
      <c r="E86" s="110">
        <v>150</v>
      </c>
      <c r="F86" s="110">
        <v>2</v>
      </c>
      <c r="G86" s="110">
        <v>45</v>
      </c>
      <c r="H86" s="109"/>
      <c r="I86" s="109"/>
      <c r="J86" s="109">
        <v>2500</v>
      </c>
      <c r="K86" s="109"/>
      <c r="L86" s="109"/>
      <c r="M86" s="110"/>
      <c r="N86" s="110" t="s">
        <v>115</v>
      </c>
      <c r="O86" s="111" t="s">
        <v>101</v>
      </c>
    </row>
    <row r="87" spans="2:15">
      <c r="B87" s="108">
        <v>173</v>
      </c>
      <c r="C87" s="110" t="s">
        <v>196</v>
      </c>
      <c r="D87" s="109" t="s">
        <v>93</v>
      </c>
      <c r="E87" s="110">
        <v>120</v>
      </c>
      <c r="F87" s="110">
        <v>2</v>
      </c>
      <c r="G87" s="110">
        <v>40</v>
      </c>
      <c r="H87" s="109">
        <v>5</v>
      </c>
      <c r="I87" s="109"/>
      <c r="J87" s="109"/>
      <c r="K87" s="109"/>
      <c r="L87" s="109"/>
      <c r="M87" s="110" t="s">
        <v>115</v>
      </c>
      <c r="N87" s="110"/>
      <c r="O87" s="111" t="s">
        <v>101</v>
      </c>
    </row>
    <row r="88" spans="2:15">
      <c r="B88" s="108">
        <v>174</v>
      </c>
      <c r="C88" s="110" t="s">
        <v>197</v>
      </c>
      <c r="D88" s="109" t="s">
        <v>93</v>
      </c>
      <c r="E88" s="110">
        <v>252</v>
      </c>
      <c r="F88" s="110">
        <v>2</v>
      </c>
      <c r="G88" s="110">
        <v>45</v>
      </c>
      <c r="H88" s="109">
        <v>5</v>
      </c>
      <c r="I88" s="109"/>
      <c r="J88" s="109"/>
      <c r="K88" s="109"/>
      <c r="L88" s="109"/>
      <c r="M88" s="110" t="s">
        <v>115</v>
      </c>
      <c r="N88" s="110"/>
      <c r="O88" s="111" t="s">
        <v>101</v>
      </c>
    </row>
    <row r="89" spans="2:15">
      <c r="B89" s="108">
        <v>175</v>
      </c>
      <c r="C89" s="110" t="s">
        <v>198</v>
      </c>
      <c r="D89" s="109" t="s">
        <v>93</v>
      </c>
      <c r="E89" s="110">
        <v>84</v>
      </c>
      <c r="F89" s="110">
        <v>1</v>
      </c>
      <c r="G89" s="110">
        <v>50</v>
      </c>
      <c r="H89" s="109">
        <v>2</v>
      </c>
      <c r="I89" s="109"/>
      <c r="J89" s="109"/>
      <c r="K89" s="109"/>
      <c r="L89" s="109">
        <v>3</v>
      </c>
      <c r="M89" s="110"/>
      <c r="N89" s="110" t="s">
        <v>115</v>
      </c>
      <c r="O89" s="111" t="s">
        <v>101</v>
      </c>
    </row>
    <row r="90" spans="2:15">
      <c r="B90" s="108">
        <v>176</v>
      </c>
      <c r="C90" s="110" t="s">
        <v>199</v>
      </c>
      <c r="D90" s="109" t="s">
        <v>93</v>
      </c>
      <c r="E90" s="110">
        <v>110</v>
      </c>
      <c r="F90" s="110">
        <v>1</v>
      </c>
      <c r="G90" s="110">
        <v>50</v>
      </c>
      <c r="H90" s="109"/>
      <c r="I90" s="109">
        <f>3000*Wskaźniki!C10</f>
        <v>107.10000000000001</v>
      </c>
      <c r="J90" s="109"/>
      <c r="K90" s="109"/>
      <c r="L90" s="109"/>
      <c r="M90" s="110"/>
      <c r="N90" s="110" t="s">
        <v>115</v>
      </c>
      <c r="O90" s="111" t="s">
        <v>101</v>
      </c>
    </row>
    <row r="91" spans="2:15">
      <c r="B91" s="108">
        <v>177</v>
      </c>
      <c r="C91" s="110"/>
      <c r="D91" s="109" t="s">
        <v>93</v>
      </c>
      <c r="E91" s="110">
        <v>150</v>
      </c>
      <c r="F91" s="110">
        <v>1</v>
      </c>
      <c r="G91" s="110">
        <v>45</v>
      </c>
      <c r="H91" s="109"/>
      <c r="I91" s="109"/>
      <c r="J91" s="109">
        <v>1000</v>
      </c>
      <c r="K91" s="109"/>
      <c r="L91" s="109"/>
      <c r="M91" s="110"/>
      <c r="N91" s="110" t="s">
        <v>115</v>
      </c>
      <c r="O91" s="111" t="s">
        <v>101</v>
      </c>
    </row>
    <row r="92" spans="2:15">
      <c r="B92" s="108">
        <v>179</v>
      </c>
      <c r="C92" s="110" t="s">
        <v>144</v>
      </c>
      <c r="D92" s="109" t="s">
        <v>93</v>
      </c>
      <c r="E92" s="110">
        <v>125</v>
      </c>
      <c r="F92" s="110">
        <v>2</v>
      </c>
      <c r="G92" s="110">
        <v>44</v>
      </c>
      <c r="H92" s="109">
        <v>3</v>
      </c>
      <c r="I92" s="109"/>
      <c r="J92" s="109"/>
      <c r="K92" s="109"/>
      <c r="L92" s="109"/>
      <c r="M92" s="110"/>
      <c r="N92" s="110" t="s">
        <v>115</v>
      </c>
      <c r="O92" s="111" t="s">
        <v>101</v>
      </c>
    </row>
    <row r="93" spans="2:15">
      <c r="B93" s="108">
        <v>180</v>
      </c>
      <c r="C93" s="110" t="s">
        <v>148</v>
      </c>
      <c r="D93" s="109" t="s">
        <v>93</v>
      </c>
      <c r="E93" s="110">
        <v>90</v>
      </c>
      <c r="F93" s="110">
        <v>1</v>
      </c>
      <c r="G93" s="110">
        <v>45</v>
      </c>
      <c r="H93" s="109">
        <v>4</v>
      </c>
      <c r="I93" s="109"/>
      <c r="J93" s="109"/>
      <c r="K93" s="109"/>
      <c r="L93" s="109"/>
      <c r="M93" s="110"/>
      <c r="N93" s="110" t="s">
        <v>115</v>
      </c>
      <c r="O93" s="111" t="s">
        <v>101</v>
      </c>
    </row>
    <row r="94" spans="2:15" ht="15" thickBot="1">
      <c r="B94" s="249">
        <v>181</v>
      </c>
      <c r="C94" s="250"/>
      <c r="D94" s="251" t="s">
        <v>93</v>
      </c>
      <c r="E94" s="250">
        <v>110</v>
      </c>
      <c r="F94" s="250">
        <v>2</v>
      </c>
      <c r="G94" s="250">
        <v>40</v>
      </c>
      <c r="H94" s="251">
        <v>8</v>
      </c>
      <c r="I94" s="251" t="s">
        <v>115</v>
      </c>
      <c r="J94" s="251"/>
      <c r="K94" s="251"/>
      <c r="L94" s="251" t="s">
        <v>115</v>
      </c>
      <c r="M94" s="250"/>
      <c r="N94" s="250" t="s">
        <v>115</v>
      </c>
      <c r="O94" s="252" t="s">
        <v>101</v>
      </c>
    </row>
    <row r="95" spans="2:15" ht="15" thickBot="1">
      <c r="B95" s="248"/>
      <c r="C95" s="1098" t="s">
        <v>3</v>
      </c>
      <c r="D95" s="1099"/>
      <c r="E95" s="112">
        <f t="shared" ref="E95:L95" si="0">SUM(E6:E94)</f>
        <v>12101.55</v>
      </c>
      <c r="F95" s="112">
        <f t="shared" si="0"/>
        <v>306</v>
      </c>
      <c r="G95" s="112">
        <f t="shared" si="0"/>
        <v>5561</v>
      </c>
      <c r="H95" s="112">
        <f t="shared" si="0"/>
        <v>197</v>
      </c>
      <c r="I95" s="112">
        <f t="shared" si="0"/>
        <v>221.37569999999999</v>
      </c>
      <c r="J95" s="112">
        <f t="shared" si="0"/>
        <v>199615</v>
      </c>
      <c r="K95" s="112">
        <f t="shared" si="0"/>
        <v>73.813999999999993</v>
      </c>
      <c r="L95" s="112">
        <f t="shared" si="0"/>
        <v>73</v>
      </c>
    </row>
    <row r="96" spans="2:15" ht="15">
      <c r="E96" s="521"/>
    </row>
    <row r="97" spans="1:5" ht="15">
      <c r="E97" s="521"/>
    </row>
    <row r="100" spans="1:5" ht="15">
      <c r="A100" s="132"/>
    </row>
  </sheetData>
  <mergeCells count="8">
    <mergeCell ref="M4:N4"/>
    <mergeCell ref="O4:O5"/>
    <mergeCell ref="C95:D95"/>
    <mergeCell ref="B4:B5"/>
    <mergeCell ref="C4:C5"/>
    <mergeCell ref="D4:D5"/>
    <mergeCell ref="E4:G4"/>
    <mergeCell ref="H4:L4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47</vt:i4>
      </vt:variant>
      <vt:variant>
        <vt:lpstr>Zakresy nazwane</vt:lpstr>
      </vt:variant>
      <vt:variant>
        <vt:i4>21</vt:i4>
      </vt:variant>
    </vt:vector>
  </HeadingPairs>
  <TitlesOfParts>
    <vt:vector size="68" baseType="lpstr">
      <vt:lpstr>INFO</vt:lpstr>
      <vt:lpstr>Wskaźniki</vt:lpstr>
      <vt:lpstr>Charakterystyka_2020</vt:lpstr>
      <vt:lpstr>Charakterystyka_2028</vt:lpstr>
      <vt:lpstr>En. elektryczna_2020</vt:lpstr>
      <vt:lpstr>En. elektryczna_2028</vt:lpstr>
      <vt:lpstr>Gaz_2020</vt:lpstr>
      <vt:lpstr>Gaz wykr.</vt:lpstr>
      <vt:lpstr>Ankietyzacja mieszkanców_2014</vt:lpstr>
      <vt:lpstr>Budynki komunalne_2014</vt:lpstr>
      <vt:lpstr>Budynki niekomunalne_2014</vt:lpstr>
      <vt:lpstr>Gaz_2028</vt:lpstr>
      <vt:lpstr>Ciepło sieciowe_2020</vt:lpstr>
      <vt:lpstr>Ciepło sieciowe_2028</vt:lpstr>
      <vt:lpstr>Ciepło założenia</vt:lpstr>
      <vt:lpstr>Ciepło_gosp. dom._2020</vt:lpstr>
      <vt:lpstr>Ciepło_gosp. dom._2024</vt:lpstr>
      <vt:lpstr>Ankietyzacja 2024</vt:lpstr>
      <vt:lpstr>Budynki niekomunalne_2024</vt:lpstr>
      <vt:lpstr>Oświetlenie komunalne_2020</vt:lpstr>
      <vt:lpstr>Budynki komunalne_2024</vt:lpstr>
      <vt:lpstr>Budynki komunalne_2028</vt:lpstr>
      <vt:lpstr>Oświetlenie komunalne_2028</vt:lpstr>
      <vt:lpstr>Transport prywatny_2020</vt:lpstr>
      <vt:lpstr>Transport prywatny_2024</vt:lpstr>
      <vt:lpstr>Transport komercyjny_2020</vt:lpstr>
      <vt:lpstr>Transport komercyjny_2024</vt:lpstr>
      <vt:lpstr>Transport kom. autobusy_2020</vt:lpstr>
      <vt:lpstr>Transport kom. autobusy_2024</vt:lpstr>
      <vt:lpstr>Tabor gminny_2020</vt:lpstr>
      <vt:lpstr>Tabor gminny_2024</vt:lpstr>
      <vt:lpstr>Podsumowanie transport_2020</vt:lpstr>
      <vt:lpstr>Podsumowanie transport_2024</vt:lpstr>
      <vt:lpstr>Końcowe zuż. energii_2020</vt:lpstr>
      <vt:lpstr>Emisja CO2_2020</vt:lpstr>
      <vt:lpstr>Końcowe zuż. energii_2024</vt:lpstr>
      <vt:lpstr>Emisja CO2_2024</vt:lpstr>
      <vt:lpstr>Działania_2020</vt:lpstr>
      <vt:lpstr>Działania_zrealizowane </vt:lpstr>
      <vt:lpstr>Zrealizowane_do_2020</vt:lpstr>
      <vt:lpstr>Zrealizowane_2020-2024</vt:lpstr>
      <vt:lpstr>Działania_2024</vt:lpstr>
      <vt:lpstr>Działania_do realizacji</vt:lpstr>
      <vt:lpstr>Planowane rezultaty</vt:lpstr>
      <vt:lpstr>Wskaźniki  rezultatów</vt:lpstr>
      <vt:lpstr>Działanie P&amp;R</vt:lpstr>
      <vt:lpstr>Ścieżki rowerowe</vt:lpstr>
      <vt:lpstr>'Ankietyzacja mieszkanców_2014'!Obszar_wydruku</vt:lpstr>
      <vt:lpstr>Charakterystyka_2020!Obszar_wydruku</vt:lpstr>
      <vt:lpstr>Charakterystyka_2028!Obszar_wydruku</vt:lpstr>
      <vt:lpstr>'Ciepło_gosp. dom._2020'!Obszar_wydruku</vt:lpstr>
      <vt:lpstr>'Ciepło_gosp. dom._2024'!Obszar_wydruku</vt:lpstr>
      <vt:lpstr>Działania_2020!Obszar_wydruku</vt:lpstr>
      <vt:lpstr>Działania_2024!Obszar_wydruku</vt:lpstr>
      <vt:lpstr>'En. elektryczna_2020'!Obszar_wydruku</vt:lpstr>
      <vt:lpstr>'En. elektryczna_2028'!Obszar_wydruku</vt:lpstr>
      <vt:lpstr>'Gaz wykr.'!Obszar_wydruku</vt:lpstr>
      <vt:lpstr>Gaz_2020!Obszar_wydruku</vt:lpstr>
      <vt:lpstr>Gaz_2028!Obszar_wydruku</vt:lpstr>
      <vt:lpstr>'Oświetlenie komunalne_2020'!Obszar_wydruku</vt:lpstr>
      <vt:lpstr>'Oświetlenie komunalne_2028'!Obszar_wydruku</vt:lpstr>
      <vt:lpstr>'Planowane rezultaty'!Obszar_wydruku</vt:lpstr>
      <vt:lpstr>'Transport prywatny_2020'!Obszar_wydruku</vt:lpstr>
      <vt:lpstr>'Transport prywatny_2024'!Obszar_wydruku</vt:lpstr>
      <vt:lpstr>Wskaźniki!Obszar_wydruku</vt:lpstr>
      <vt:lpstr>Zrealizowane_do_2020!Obszar_wydruku</vt:lpstr>
      <vt:lpstr>Charakterystyka_2020!Tytuły_wydruku</vt:lpstr>
      <vt:lpstr>Charakterystyka_2028!Tytuły_wydruku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</dc:creator>
  <cp:lastModifiedBy>ASUS</cp:lastModifiedBy>
  <cp:lastPrinted>2020-12-04T12:17:19Z</cp:lastPrinted>
  <dcterms:created xsi:type="dcterms:W3CDTF">2014-12-03T21:36:36Z</dcterms:created>
  <dcterms:modified xsi:type="dcterms:W3CDTF">2025-10-01T16:49:22Z</dcterms:modified>
</cp:coreProperties>
</file>